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CER Data website\MAYA\taxbizmantra site\EXCEL Tax Template\Capital gains calculator excel\"/>
    </mc:Choice>
  </mc:AlternateContent>
  <xr:revisionPtr revIDLastSave="0" documentId="13_ncr:1_{373E9491-1476-4153-A689-D347AB4CF7F5}" xr6:coauthVersionLast="47" xr6:coauthVersionMax="47" xr10:uidLastSave="{00000000-0000-0000-0000-000000000000}"/>
  <bookViews>
    <workbookView xWindow="-120" yWindow="-120" windowWidth="25440" windowHeight="15270" tabRatio="500" activeTab="1" xr2:uid="{00000000-000D-0000-FFFF-FFFF00000000}"/>
  </bookViews>
  <sheets>
    <sheet name="📄 Cover Page" sheetId="1" r:id="rId1"/>
    <sheet name="📈 Capital Gains Calculator" sheetId="2" r:id="rId2"/>
    <sheet name="📋 CII &amp; Rate Reference" sheetId="3" r:id="rId3"/>
    <sheet name="📘 How to Us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0" i="2" l="1"/>
  <c r="D69" i="2"/>
  <c r="D68" i="2"/>
  <c r="C65" i="2"/>
  <c r="D65" i="2" s="1"/>
  <c r="D64" i="2"/>
  <c r="D63" i="2"/>
  <c r="C52" i="2"/>
  <c r="C51" i="2"/>
  <c r="D51" i="2" s="1"/>
  <c r="C48" i="2"/>
  <c r="D47" i="2"/>
  <c r="D46" i="2"/>
  <c r="D45" i="2"/>
  <c r="D44" i="2"/>
  <c r="D43" i="2"/>
  <c r="C40" i="2"/>
  <c r="D40" i="2" s="1"/>
  <c r="D39" i="2"/>
  <c r="D38" i="2"/>
  <c r="C33" i="2"/>
  <c r="D32" i="2"/>
  <c r="D31" i="2"/>
  <c r="C27" i="2"/>
  <c r="D26" i="2"/>
  <c r="D25" i="2"/>
  <c r="C22" i="2"/>
  <c r="D21" i="2"/>
  <c r="D20" i="2"/>
  <c r="D15" i="2"/>
  <c r="D14" i="2"/>
  <c r="D13" i="2"/>
  <c r="E9" i="2"/>
  <c r="D8" i="2"/>
  <c r="C71" i="2" l="1"/>
  <c r="D70" i="2"/>
  <c r="C53" i="2"/>
  <c r="D52" i="2"/>
  <c r="C49" i="2"/>
  <c r="D48" i="2"/>
  <c r="C82" i="2"/>
  <c r="D33" i="2"/>
  <c r="C75" i="2"/>
  <c r="D27" i="2"/>
  <c r="C77" i="2"/>
  <c r="D22" i="2"/>
  <c r="D71" i="2" l="1"/>
  <c r="C72" i="2"/>
  <c r="D72" i="2" s="1"/>
  <c r="D53" i="2"/>
  <c r="C54" i="2"/>
  <c r="D49" i="2"/>
  <c r="C50" i="2"/>
  <c r="D82" i="2"/>
  <c r="D83" i="2" s="1"/>
  <c r="C83" i="2"/>
  <c r="D75" i="2"/>
  <c r="C76" i="2"/>
  <c r="D76" i="2" s="1"/>
  <c r="D77" i="2"/>
  <c r="D54" i="2" l="1"/>
  <c r="C55" i="2"/>
  <c r="D50" i="2"/>
  <c r="D86" i="2"/>
  <c r="D87" i="2"/>
  <c r="D88" i="2"/>
  <c r="E83" i="2"/>
  <c r="C86" i="2"/>
  <c r="C87" i="2"/>
  <c r="E87" i="2" s="1"/>
  <c r="C88" i="2"/>
  <c r="C56" i="2" l="1"/>
  <c r="D55" i="2"/>
  <c r="E86" i="2"/>
  <c r="C89" i="2"/>
  <c r="D89" i="2"/>
  <c r="E88" i="2"/>
  <c r="C57" i="2" l="1"/>
  <c r="C58" i="2"/>
  <c r="D56" i="2"/>
  <c r="E89" i="2"/>
  <c r="D57" i="2" l="1"/>
  <c r="C78" i="2"/>
  <c r="C92" i="2"/>
  <c r="D58" i="2"/>
  <c r="D92" i="2" s="1"/>
  <c r="D93" i="2" s="1"/>
  <c r="D78" i="2" l="1"/>
  <c r="C93" i="2"/>
  <c r="E92" i="2"/>
  <c r="D94" i="2"/>
  <c r="D95" i="2"/>
  <c r="C94" i="2" l="1"/>
  <c r="E93" i="2"/>
  <c r="C95" i="2"/>
  <c r="D96" i="2"/>
  <c r="D100" i="2" s="1"/>
  <c r="E94" i="2" l="1"/>
  <c r="C96" i="2"/>
  <c r="E95" i="2"/>
  <c r="D101" i="2"/>
  <c r="D102" i="2" s="1"/>
  <c r="E96" i="2" l="1"/>
  <c r="C100" i="2"/>
  <c r="E100" i="2" l="1"/>
  <c r="C101" i="2"/>
  <c r="E101" i="2" l="1"/>
  <c r="C102" i="2"/>
  <c r="A105" i="2" l="1"/>
  <c r="E102" i="2"/>
</calcChain>
</file>

<file path=xl/sharedStrings.xml><?xml version="1.0" encoding="utf-8"?>
<sst xmlns="http://schemas.openxmlformats.org/spreadsheetml/2006/main" count="256" uniqueCount="186">
  <si>
    <t>TAXBIZMANTRA.COM</t>
  </si>
  <si>
    <t>Free Excel Utility Series — Income Tax Act, 2025</t>
  </si>
  <si>
    <t>Capital Gains Tax Calculator</t>
  </si>
  <si>
    <t>Sections 196, 197 &amp; 198, Income Tax Act, 2025 (formerly Sections 111A, 112 &amp; 112A)</t>
  </si>
  <si>
    <t>Tax Year 2026-27 (FY 2026-27)  |  Equity · Debt · Property · Gold · Unlisted Shares  |  Free Download</t>
  </si>
  <si>
    <t xml:space="preserve">  ✅  WHAT THIS CALCULATOR DOES</t>
  </si>
  <si>
    <t xml:space="preserve">  •  Covers all major asset classes: listed equity/equity mutual funds, debt &amp; specified mutual funds, immovable property, and gold/unlisted shares/other long-term assets.</t>
  </si>
  <si>
    <t xml:space="preserve">  •  Applies the correct holding period (12 months for listed securities, 24 months for everything else) and the correct special tax rate for each asset class.</t>
  </si>
  <si>
    <t xml:space="preserve">  •  Automatically compares the 12.5% (no indexation) vs 20% (with indexation) options for property acquired before 23 July 2024, and picks whichever is lower.</t>
  </si>
  <si>
    <t xml:space="preserve">  •  Built-in Cost Inflation Index (CII) table (FY 2001-02 to FY 2026-27) for accurate indexed cost computation.</t>
  </si>
  <si>
    <t xml:space="preserve">  •  Blends slab-rate short-term gains (property, gold, debt funds) with your other income under New vs Old Regime, with full slab, rebate, and surcharge computation.</t>
  </si>
  <si>
    <t xml:space="preserve">  •  Applies the 15% surcharge cap on special-rate capital gains and excludes the Section 87A rebate from special-rate gains, per settled law.</t>
  </si>
  <si>
    <t xml:space="preserve">  •  Includes manual-entry fields for Section 54 / 54EC / 54F reinvestment exemptions.</t>
  </si>
  <si>
    <t xml:space="preserve">  📁  INSIDE THIS WORKBOOK</t>
  </si>
  <si>
    <t xml:space="preserve">  ►</t>
  </si>
  <si>
    <t>📈 Capital Gains Calculator</t>
  </si>
  <si>
    <t>Enter your transactions and get exempt/taxable gains and final tax.</t>
  </si>
  <si>
    <t>📋 CII &amp; Rate Reference</t>
  </si>
  <si>
    <t>Cost Inflation Index table and the full capital gains rate card.</t>
  </si>
  <si>
    <t>📘 How to Use</t>
  </si>
  <si>
    <t>A step-by-step walkthrough of the calculator.</t>
  </si>
  <si>
    <t xml:space="preserve">  ⚠️  For estimation and planning purposes only. Not a substitute for professional tax advice. Section 54/54EC/54F exemptions must be entered manually — their detailed eligibility conditions are not modeled here.</t>
  </si>
  <si>
    <t>© 2025-26 taxbizmantra.com  |  Free Tax Excel Utility Series  |  Capital Gains Tax Calculator</t>
  </si>
  <si>
    <t xml:space="preserve">  Tax Year 2026-27 (FY 2026-27)  |  Sections 196, 197 &amp; 198, Income Tax Act, 2025</t>
  </si>
  <si>
    <t xml:space="preserve">  ⚡  Blue cells are INPUT fields  |  All other cells are auto-calculated</t>
  </si>
  <si>
    <t xml:space="preserve">  Particulars</t>
  </si>
  <si>
    <t>New Regime</t>
  </si>
  <si>
    <t>Old Regime</t>
  </si>
  <si>
    <t>Difference</t>
  </si>
  <si>
    <t xml:space="preserve">  📋  SECTION A : BASIC DETAILS</t>
  </si>
  <si>
    <t xml:space="preserve">  ► Age Category  [Select from dropdown ▼] (for slab-rate portion only)</t>
  </si>
  <si>
    <t>Below 60 yrs</t>
  </si>
  <si>
    <t>-</t>
  </si>
  <si>
    <t xml:space="preserve">  ► Other Taxable Income (Salary/House Property/Business/Other Sources, Net) — Annual</t>
  </si>
  <si>
    <t xml:space="preserve">  🏠  SECTION B : REINVESTMENT EXEMPTIONS (ENTER ALREADY-COMPUTED EXEMPT AMOUNT)</t>
  </si>
  <si>
    <t xml:space="preserve">  ⚠️  Detailed eligibility conditions for these sections are NOT modeled — enter the exempt amount you have already worked out</t>
  </si>
  <si>
    <t xml:space="preserve">  ► Sec 54 — Sale of Residential House, reinvested in another house (reduces Property LTCG)</t>
  </si>
  <si>
    <t xml:space="preserve">  ► Sec 54EC — Investment in NHAI/REC/PFC Bonds, Max ₹50,00,000 (reduces Property LTCG only)</t>
  </si>
  <si>
    <t xml:space="preserve">  ► Sec 54F — Net Consideration from any LT asset reinvested in a residential house (default: reduces Other LT Assets' LTCG — reallocate manually if used against Equity/Property instead)</t>
  </si>
  <si>
    <t xml:space="preserve">  📊  SECTION C : LISTED EQUITY SHARES / EQUITY MF / BUSINESS TRUST UNITS (STT PAID)</t>
  </si>
  <si>
    <t xml:space="preserve">  Holding period: ≤ 12 months = Short-Term (Sec 196) · &gt; 12 months = Long-Term (Sec 198)</t>
  </si>
  <si>
    <t xml:space="preserve">  Short-Term (Sec 196 — taxed @ 20% flat)</t>
  </si>
  <si>
    <t xml:space="preserve">  ► Sale Value</t>
  </si>
  <si>
    <t xml:space="preserve">  ► Cost of Acquisition + Transfer Expenses</t>
  </si>
  <si>
    <t xml:space="preserve">  Equity STCG (Sec 196)</t>
  </si>
  <si>
    <t xml:space="preserve">  Long-Term (Sec 198 — taxed @ 12.5% above ₹1,25,000 aggregate annual exemption)</t>
  </si>
  <si>
    <t xml:space="preserve">  Equity LTCG (Sec 198), before ₹1,25,000 exemption</t>
  </si>
  <si>
    <t xml:space="preserve">  📉  SECTION D : DEBT / SPECIFIED MUTUAL FUNDS (Units acquired on/after 1-Apr-2023)</t>
  </si>
  <si>
    <t xml:space="preserve">  Always treated as Short-Term regardless of holding period — taxed at slab rate, not a special rate</t>
  </si>
  <si>
    <t xml:space="preserve">  Debt/Specified MF Gain (added to Slab-Rate pool below)</t>
  </si>
  <si>
    <t xml:space="preserve">  🏡  SECTION E : IMMOVABLE PROPERTY (LAND / BUILDING)</t>
  </si>
  <si>
    <t xml:space="preserve">  Holding period: ≤ 24 months = Short-Term (slab rate) · &gt; 24 months = Long-Term (Sec 197)</t>
  </si>
  <si>
    <t xml:space="preserve">  Short-Term (added to Slab-Rate pool below)</t>
  </si>
  <si>
    <t xml:space="preserve">  Property STCG (added to Slab-Rate pool below)</t>
  </si>
  <si>
    <t xml:space="preserve">  Long-Term (Sec 197) — 12.5% without indexation, or 20% WITH indexation if acquired before 23-Jul-2024</t>
  </si>
  <si>
    <t xml:space="preserve">  ► Acquired before 23-Jul-2024?  [Select from dropdown ▼]</t>
  </si>
  <si>
    <t>Yes</t>
  </si>
  <si>
    <t xml:space="preserve">  ► Financial Year of Purchase  [Select from dropdown ▼] (used only if acquired before 23-Jul-2024, for CII lookup)</t>
  </si>
  <si>
    <t>2012-13</t>
  </si>
  <si>
    <t xml:space="preserve">  ► Actual Cost of Acquisition + Cost of Improvement</t>
  </si>
  <si>
    <t xml:space="preserve">  ► Transfer Expenses (brokerage, stamp duty, legal fees)</t>
  </si>
  <si>
    <t xml:space="preserve">  Gain — Option A (no indexation)</t>
  </si>
  <si>
    <t xml:space="preserve">  Net Gain after Sec 54/54EC exemption — Option A</t>
  </si>
  <si>
    <t xml:space="preserve">  Tax @ 12.5% — Option A</t>
  </si>
  <si>
    <t xml:space="preserve">  CII of Purchase Year (looked up from CII Reference sheet)</t>
  </si>
  <si>
    <t xml:space="preserve">  CII of Tax Year 2026-27 (fixed)</t>
  </si>
  <si>
    <t xml:space="preserve">  Indexed Cost of Acquisition (Cost × Sale-Year CII ÷ Purchase-Year CII)</t>
  </si>
  <si>
    <t xml:space="preserve">  Gain — Option B (with indexation)</t>
  </si>
  <si>
    <t xml:space="preserve">  Net Gain after Sec 54/54EC exemption — Option B</t>
  </si>
  <si>
    <t xml:space="preserve">  Tax @ 20% — Option B (only if acquired before 23-Jul-2024)</t>
  </si>
  <si>
    <t xml:space="preserve">  PROPERTY LTCG TAX (lower of Option A / Option B, auto-selected)</t>
  </si>
  <si>
    <t xml:space="preserve">  Property LTCG — Gain corresponding to selected option (for surcharge-bracket accuracy)</t>
  </si>
  <si>
    <t xml:space="preserve">  🥇  SECTION F : GOLD / UNLISTED SHARES / OTHER LONG-TERM CAPITAL ASSETS</t>
  </si>
  <si>
    <t xml:space="preserve">  Holding period: ≤ 24 months = Short-Term (slab rate) · &gt; 24 months = Long-Term (Sec 197, 12.5% flat, NO indexation option)</t>
  </si>
  <si>
    <t xml:space="preserve">  Gold/Unlisted/Other STCG (added to Slab-Rate pool below)</t>
  </si>
  <si>
    <t xml:space="preserve">  Long-Term (Sec 197 — 12.5% flat, no indexation option — Gold, Unlisted Shares, Debt Instruments, Other)</t>
  </si>
  <si>
    <t xml:space="preserve">  Gain before Sec 54F exemption</t>
  </si>
  <si>
    <t xml:space="preserve">  Net Gain after Sec 54F exemption</t>
  </si>
  <si>
    <t xml:space="preserve">  Other LT Assets — Tax @ 12.5%</t>
  </si>
  <si>
    <t xml:space="preserve">  🧮  SECTION G : SPECIAL-RATE CAPITAL GAINS — AGGREGATION &amp; TAX</t>
  </si>
  <si>
    <t xml:space="preserve">  Equity LTCG after ₹1,25,000 annual exemption (Sec 198)</t>
  </si>
  <si>
    <t xml:space="preserve">  Equity LTCG Tax @ 12.5% (Sec 198)</t>
  </si>
  <si>
    <t xml:space="preserve">  Equity STCG Tax @ 20% (Sec 196)</t>
  </si>
  <si>
    <t xml:space="preserve">  TOTAL SPECIAL-RATE TAX  (Equity STCG + Equity LTCG + Property LTCG + Other LT Assets LTCG)</t>
  </si>
  <si>
    <t xml:space="preserve">  💼  SECTION H : SLAB-RATE SHORT-TERM GAINS BLENDED WITH OTHER INCOME</t>
  </si>
  <si>
    <t xml:space="preserve">  Debt/Specified MF + Property STCG + Gold/Unlisted STCG — taxed at slab rate, NOT a special rate</t>
  </si>
  <si>
    <t xml:space="preserve">  Total Slab-Rate STCG (Debt/Specified MF + Property STCG + Other STCG)</t>
  </si>
  <si>
    <t xml:space="preserve">  Combined Taxable Income for Slab Computation (Other Income + Slab-Rate STCG)</t>
  </si>
  <si>
    <t xml:space="preserve">  📊  SECTION I : SLAB TAX ON COMBINED INCOME (Sec 87A Rebate APPLIES here)</t>
  </si>
  <si>
    <t xml:space="preserve">  Slab Tax on Combined Income</t>
  </si>
  <si>
    <t xml:space="preserve">  Less: Rebate u/s 87A (New: ₹60,000 if income ≤ ₹12L | Old: ₹12,500 if income ≤ ₹5L)</t>
  </si>
  <si>
    <t xml:space="preserve">  Less: Marginal Relief u/s 87A (New: income ₹12L–₹12.75L | Old: income ₹5L–₹5.1L)</t>
  </si>
  <si>
    <t xml:space="preserve">  Slab Tax After Rebate &amp; Marginal Relief</t>
  </si>
  <si>
    <t xml:space="preserve">  📈  SECTION J : SURCHARGE (Bracket by Total Income · 15% Cap on Special-Rate Gains)</t>
  </si>
  <si>
    <t xml:space="preserve">  Total Income for Surcharge Bracket (Combined Income + All Special-Rate Gains)</t>
  </si>
  <si>
    <t xml:space="preserve">  Surcharge Bracket Rate (New: capped 25% · Old: up to 37%)</t>
  </si>
  <si>
    <t xml:space="preserve">  Surcharge on Slab-Rate Portion (Combined Income tax × bracket rate)</t>
  </si>
  <si>
    <t xml:space="preserve">  Surcharge Rate on Special-Rate Gains (capped at 15%)</t>
  </si>
  <si>
    <t xml:space="preserve">  Surcharge on Special-Rate Capital Gains Tax</t>
  </si>
  <si>
    <t xml:space="preserve">  ⚠️  KNOWN LIMITATION: Surcharge marginal relief (which smooths the cliff exactly at ₹50L/₹1Cr/₹2Cr/₹5Cr) is NOT computed here, because it would require blending the slab-rate and special-rate tax bases together — a materially harder calculation than a single-income-stream case. If your Total Income for Surcharge Bracket (above) sits within roughly ₹2-3 lakh of any threshold, verify manually or consult your CA before relying on the surcharge figures below.</t>
  </si>
  <si>
    <t xml:space="preserve">  ✅  SECTION K : FINAL TAX PAYABLE</t>
  </si>
  <si>
    <t xml:space="preserve">  Tax + Surcharge, before Cess (Slab-Rate + Special-Rate combined)</t>
  </si>
  <si>
    <t xml:space="preserve">  Health &amp; Education Cess @ 4%</t>
  </si>
  <si>
    <t xml:space="preserve">  TOTAL TAX PAYABLE (incl. Cess)</t>
  </si>
  <si>
    <t xml:space="preserve">  ✅  SECTION L : REGIME RECOMMENDATION</t>
  </si>
  <si>
    <t xml:space="preserve">  Note: This comparison reflects Sec 87A rebate on the slab-rate portion only. It does NOT reflect the resident-taxpayer benefit of adjusting unused basic exemption against special-rate gains when total income is below the basic exemption limit — see Section M, Note 9.</t>
  </si>
  <si>
    <t xml:space="preserve">  📌  SECTION M : IMPORTANT NOTES &amp; DISCLAIMERS</t>
  </si>
  <si>
    <t xml:space="preserve">  1.  GOVERNING SECTIONS: Sections 196 (STT-paid equity STCG, 20%), 197 (general LTCG, 12.5% / 20%-with-indexation option), and 198 (STT-paid equity LTCG, 12.5% above ₹1,25,000) of the Income Tax Act, 2025 — replacing Sections 111A, 112 and 112A of the Income-tax Act, 1961, effective 1 April 2026.</t>
  </si>
  <si>
    <t xml:space="preserve">  2.  HOLDING PERIOD: 12 months for listed securities (equity shares, equity mutual funds, listed bonds/debentures, business trust units). 24 months for everything else (unlisted shares, immovable property, unlisted bonds, gold/jewellery, other movable capital assets).</t>
  </si>
  <si>
    <t xml:space="preserve">  3.  DEBT / SPECIFIED MUTUAL FUNDS: Units of a Specified Mutual Fund (more than 65% in debt instruments) acquired on or after 1 April 2023 are always treated as short-term, regardless of actual holding period, and taxed at slab rate — not a special rate.</t>
  </si>
  <si>
    <t xml:space="preserve">  4.  PROPERTY INDEXATION OPTION: Available only to resident individuals and HUFs, only for land or building acquired before 23 July 2024. This calculator does not separately restrict the option to residents — apply manually if the transferor is a non-resident, firm, or company.</t>
  </si>
  <si>
    <t xml:space="preserve">  5.  87A REBATE: Available only against the slab-rate portion of income. It is NOT available against special-rate capital gains (Sections 196, 197, 198) — this is settled law, applied correctly here.</t>
  </si>
  <si>
    <t xml:space="preserve">  6.  BASIC EXEMPTION ADJUSTMENT (NOT AUTOMATED): Resident individuals/HUFs whose total income is below the basic exemption limit may adjust the shortfall against special-rate capital gains before computing tax on those gains. This calculator does NOT automate this adjustment — if your Combined Taxable Income (Section H) is below the basic exemption limit, compute this adjustment manually.</t>
  </si>
  <si>
    <t xml:space="preserve">  7.  SURCHARGE: The bracket rate is determined by Total Income (Section J), but capped at 15% specifically for special-rate capital gains (Sections 196/197/198), regardless of how high total income is. This is settled law (Budget 2022, extended to all LTCG).</t>
  </si>
  <si>
    <t xml:space="preserve">  8.  SURCHARGE MARGINAL RELIEF: NOT computed in this version — see the red flag in Section J. Verify manually near the ₹50L/₹1Cr/₹2Cr/₹5Cr thresholds.</t>
  </si>
  <si>
    <t xml:space="preserve">  9.  SECTION 54 / 54EC / 54F: Entered as already-computed exempt amounts. Detailed eligibility conditions (timelines, asset type restrictions, lock-in periods, maximum limits) are not modeled — verify eligibility separately before relying on the exemption entered.</t>
  </si>
  <si>
    <t xml:space="preserve">  10.  CII TABLE: Covers FY 2001-02 to FY 2026-27 (including FY 2025-26 = 376 and FY 2026-27 = 384). Only FY 2001-02 to FY 2024-25 are offered in the Purchase Year dropdown, since the indexation option applies only to property acquired before 23 July 2024. Sale-year CII is fixed at 384 (FY 2026-27) throughout, since this workbook targets Tax Year 2026-27 specifically.</t>
  </si>
  <si>
    <t xml:space="preserve">  11.  DISCLAIMER: For estimation and planning purposes only. Not a substitute for professional tax advice.</t>
  </si>
  <si>
    <t>COST INFLATION INDEX  &amp;  CAPITAL GAINS RATE CARD  —  TAX YEAR 2026-27</t>
  </si>
  <si>
    <t>Base Year FY 2001-02 = 100  |  Sale-Year CII fixed at 384 (FY 2026-27) throughout this workbook</t>
  </si>
  <si>
    <t xml:space="preserve">  COST INFLATION INDEX TABLE</t>
  </si>
  <si>
    <t>Financial Year</t>
  </si>
  <si>
    <t>CII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</si>
  <si>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</si>
  <si>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</si>
  <si>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</si>
  <si>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</si>
  <si>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</si>
  <si>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</si>
  <si>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</si>
  <si>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</si>
  <si>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</si>
  <si>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</si>
  <si>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</si>
  <si>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</si>
  <si>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</si>
  <si>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</si>
  <si>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</si>
  <si>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</si>
  <si>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</si>
  <si>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</si>
  <si>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</si>
  <si>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</si>
  <si>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</si>
  <si>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</si>
  <si>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</si>
  <si>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</si>
  <si>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Current/recent year — not offered as a Purchase Year (indexation option needs pre-23-Jul-2024 acquisition)</t>
  </si>
  <si>
    <t>2026-27</t>
  </si>
  <si>
    <t xml:space="preserve">  CAPITAL GAINS RATE CARD</t>
  </si>
  <si>
    <t>Asset Class</t>
  </si>
  <si>
    <t>Rate</t>
  </si>
  <si>
    <t>Notes</t>
  </si>
  <si>
    <t>Equity/Equity MF/Business Trust — STCG (Sec 196)</t>
  </si>
  <si>
    <t>20%</t>
  </si>
  <si>
    <t>≤12 months, STT paid</t>
  </si>
  <si>
    <t>Equity/Equity MF/Business Trust — LTCG (Sec 198)</t>
  </si>
  <si>
    <t>12.5%</t>
  </si>
  <si>
    <t>&gt;12 months, above ₹1.25L/year</t>
  </si>
  <si>
    <t>Debt/Specified Mutual Funds (post 1-Apr-2023)</t>
  </si>
  <si>
    <t>Slab Rate</t>
  </si>
  <si>
    <t>Always short-term (Sec 50AA equivalent)</t>
  </si>
  <si>
    <t>Property — STCG</t>
  </si>
  <si>
    <t>≤24 months</t>
  </si>
  <si>
    <t>Property — LTCG, acquired before 23-Jul-2024</t>
  </si>
  <si>
    <t>Lower of 12.5% (no index.) or 20% (with index.)</t>
  </si>
  <si>
    <t>&gt;24 months, resident individual/HUF only</t>
  </si>
  <si>
    <t>Property — LTCG, acquired on/after 23-Jul-2024</t>
  </si>
  <si>
    <t>&gt;24 months, no indexation option</t>
  </si>
  <si>
    <t>Gold/Unlisted Shares/Other — STCG</t>
  </si>
  <si>
    <t>Gold/Unlisted Shares/Other — LTCG (Sec 197)</t>
  </si>
  <si>
    <t>⚠️  Surcharge on ALL special-rate capital gains (Sec 196/197/198) is capped at 15%, regardless of total income. Sec 87A rebate does NOT apply to special-rate gains. Source: Income Tax Act, 2025 — Sections 196, 197, 198; Finance (No. 2) Act, 2024 (rate/holding-period changes); Budget 2022 (surcharge cap).</t>
  </si>
  <si>
    <t>HOW TO USE — Capital Gains Tax Calculator</t>
  </si>
  <si>
    <t xml:space="preserve">  STEP 1:  Open the 📈 Capital Gains Calculator sheet. Enter your Age Category and Other Taxable Income (Salary/House Property/Business/Other Sources) for both regimes in Section A.</t>
  </si>
  <si>
    <t xml:space="preserve">  STEP 2:  Section B — If you have already worked out an exemption under Sec 54, 54EC or 54F, enter the exempt amount here. Leave at zero if not applicable.</t>
  </si>
  <si>
    <t xml:space="preserve">  STEP 3:  Section C — Enter Sale Value and Cost for any Equity Shares/Equity MF/Business Trust Units sold, splitting into Short-Term (≤12 months) and Long-Term (&gt;12 months) rows based on your own holding-period check.</t>
  </si>
  <si>
    <t xml:space="preserve">  STEP 4:  Section D — Enter any Debt/Specified Mutual Fund transactions (units bought on/after 1 April 2023). These are always short-term regardless of how long you held them.</t>
  </si>
  <si>
    <t xml:space="preserve">  STEP 5:  Section E — For Property, split into Short-Term and Long-Term. For Long-Term, select whether it was acquired before 23-Jul-2024, and if so, pick the Financial Year of Purchase from the dropdown — the calculator automatically compares the 12.5% (no indexation) and 20% (with indexation) options and picks the lower tax.</t>
  </si>
  <si>
    <t xml:space="preserve">  STEP 6:  Section F — Enter Gold/Unlisted Shares/Other long-term asset transactions the same way, split by holding period.</t>
  </si>
  <si>
    <t xml:space="preserve">  STEP 7:  Sections G–H aggregate your special-rate gains (equity, property LTCG, other LTCG) and your slab-rate short-term gains (debt funds, property STCG, other STCG) separately — this split matters because they're taxed completely differently.</t>
  </si>
  <si>
    <t xml:space="preserve">  STEP 8:  Sections I–K compute the final tax: slab tax with rebate and marginal relief on the slab-rate portion, special-rate tax on capital gains, surcharge (bracket by total income, capped at 15% for special-rate gains), and cess — combined into a single Total Tax Payable for both regimes.</t>
  </si>
  <si>
    <t xml:space="preserve">  IMPORTANT — SURCHARGE MARGINAL RELIEF:  Not automated in this version. If your Total Income for Surcharge Bracket (Section J) is close to ₹50L/₹1Cr/₹2Cr/₹5Cr, verify the surcharge manually or consult your CA.</t>
  </si>
  <si>
    <t xml:space="preserve">  IMPORTANT — BASIC EXEMPTION ADJUSTMENT:  If your Combined Taxable Income (Section H) is below the basic exemption limit, resident individuals/HUFs can adjust the shortfall against special-rate gains — this calculator does not automate that adjustment; apply it manually if relevant.</t>
  </si>
  <si>
    <t xml:space="preserve">  WHO IS THIS FOR?:  Individuals and HUFs with capital gains from equity, mutual funds, property, gold, or unlisted shares who want to estimate their tax liability and compare regimes.</t>
  </si>
  <si>
    <t xml:space="preserve">  DISCLAIMER:  For estimation only, based on the Income Tax Act, 2025. Section 54/54EC/54F eligibility is not verified here. Always confirm current provisions before filing your return.</t>
  </si>
  <si>
    <t>© taxbizmantra.com  |  Free Tax Excel Utility Series  |  Capital Gains Tax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</si>
</sst>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1"/>
    </font>
    <font>
      <b/>
      <sz val="22"/>
      <color rgb="FFF9A825"/>
      <name val="Times New Roman"/>
      <family val="1"/>
    </font>
    <font>
      <i/>
      <sz val="11"/>
      <color rgb="FFFFFFFF"/>
      <name val="Times New Roman"/>
      <family val="1"/>
    </font>
    <font>
      <b/>
      <sz val="28"/>
      <color rgb="FF1A237E"/>
      <name val="Times New Roman"/>
      <family val="1"/>
    </font>
    <font>
      <i/>
      <sz val="12"/>
      <color rgb="FF212121"/>
      <name val="Times New Roman"/>
      <family val="1"/>
    </font>
    <font>
      <b/>
      <sz val="11"/>
      <color rgb="FFFFFFFF"/>
      <name val="Times New Roman"/>
      <family val="1"/>
    </font>
    <font>
      <b/>
      <sz val="12"/>
      <color rgb="FFFFFFFF"/>
      <name val="Times New Roman"/>
      <family val="1"/>
    </font>
    <font>
      <sz val="10"/>
      <color rgb="FF212121"/>
      <name val="Times New Roman"/>
      <family val="1"/>
    </font>
    <font>
      <b/>
      <sz val="10"/>
      <color rgb="FF1A237E"/>
      <name val="Times New Roman"/>
      <family val="1"/>
    </font>
    <font>
      <i/>
      <sz val="9"/>
      <color rgb="FF212121"/>
      <name val="Times New Roman"/>
      <family val="1"/>
    </font>
    <font>
      <b/>
      <sz val="9"/>
      <color rgb="FFC62828"/>
      <name val="Times New Roman"/>
      <family val="1"/>
    </font>
    <font>
      <sz val="9"/>
      <color rgb="FFF9A825"/>
      <name val="Times New Roman"/>
      <family val="1"/>
    </font>
    <font>
      <b/>
      <sz val="18"/>
      <color rgb="FFF9A825"/>
      <name val="Times New Roman"/>
      <family val="1"/>
    </font>
    <font>
      <b/>
      <sz val="13"/>
      <color rgb="FFFFFFFF"/>
      <name val="Times New Roman"/>
      <family val="1"/>
    </font>
    <font>
      <sz val="10"/>
      <color rgb="FFFFFFFF"/>
      <name val="Times New Roman"/>
      <family val="1"/>
    </font>
    <font>
      <sz val="9"/>
      <color rgb="FF212121"/>
      <name val="Times New Roman"/>
      <family val="1"/>
    </font>
    <font>
      <b/>
      <sz val="10"/>
      <color rgb="FFFFFFFF"/>
      <name val="Times New Roman"/>
      <family val="1"/>
    </font>
    <font>
      <sz val="10"/>
      <color rgb="FF0000FF"/>
      <name val="Times New Roman"/>
      <family val="1"/>
    </font>
    <font>
      <sz val="10"/>
      <color rgb="FF9E9E9E"/>
      <name val="Times New Roman"/>
      <family val="1"/>
    </font>
    <font>
      <sz val="9"/>
      <color rgb="FF9E9E9E"/>
      <name val="Times New Roman"/>
      <family val="1"/>
    </font>
    <font>
      <b/>
      <sz val="10"/>
      <color rgb="FF212121"/>
      <name val="Times New Roman"/>
      <family val="1"/>
    </font>
    <font>
      <b/>
      <sz val="10"/>
      <color rgb="FF9E9E9E"/>
      <name val="Times New Roman"/>
      <family val="1"/>
    </font>
    <font>
      <b/>
      <sz val="12"/>
      <color rgb="FFF9A825"/>
      <name val="Times New Roman"/>
      <family val="1"/>
    </font>
    <font>
      <b/>
      <sz val="13"/>
      <color rgb="FF2E7D32"/>
      <name val="Times New Roman"/>
      <family val="1"/>
    </font>
    <font>
      <sz val="9"/>
      <color rgb="FFC62828"/>
      <name val="Times New Roman"/>
      <family val="1"/>
    </font>
    <font>
      <b/>
      <sz val="13"/>
      <color rgb="FFF9A825"/>
      <name val="Times New Roman"/>
      <family val="1"/>
    </font>
    <font>
      <b/>
      <sz val="9"/>
      <color rgb="FF212121"/>
      <name val="Times New Roman"/>
      <family val="1"/>
    </font>
    <font>
      <b/>
      <sz val="9"/>
      <color rgb="FF2E7D32"/>
      <name val="Times New Roman"/>
      <family val="1"/>
    </font>
    <font>
      <i/>
      <sz val="8"/>
      <color rgb="FF2E7D32"/>
      <name val="Times New Roman"/>
      <family val="1"/>
    </font>
    <font>
      <b/>
      <sz val="14"/>
      <color rgb="FFF9A825"/>
      <name val="Times New Roman"/>
      <family val="1"/>
    </font>
    <font>
      <b/>
      <sz val="11"/>
      <color rgb="FF212121"/>
      <name val="Times New Roman"/>
      <family val="1"/>
    </font>
    <font>
      <sz val="11"/>
      <color rgb="FFF9A825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1A237E"/>
        <bgColor rgb="FF333399"/>
      </patternFill>
    </fill>
    <fill>
      <patternFill patternType="solid">
        <fgColor rgb="FFE65100"/>
        <bgColor rgb="FFC62828"/>
      </patternFill>
    </fill>
    <fill>
      <patternFill patternType="solid">
        <fgColor rgb="FFE8EAF6"/>
        <bgColor rgb="FFDCEEFF"/>
      </patternFill>
    </fill>
    <fill>
      <patternFill patternType="solid">
        <fgColor rgb="FFFFFFFF"/>
        <bgColor rgb="FFFFFDE7"/>
      </patternFill>
    </fill>
    <fill>
      <patternFill patternType="solid">
        <fgColor rgb="FFFFEBEE"/>
        <bgColor rgb="FFFFF3E0"/>
      </patternFill>
    </fill>
    <fill>
      <patternFill patternType="solid">
        <fgColor rgb="FFFFFDE7"/>
        <bgColor rgb="FFFFF3E0"/>
      </patternFill>
    </fill>
    <fill>
      <patternFill patternType="solid">
        <fgColor rgb="FFDCEEFF"/>
        <bgColor rgb="FFE8EAF6"/>
      </patternFill>
    </fill>
    <fill>
      <patternFill patternType="solid">
        <fgColor rgb="FFF5F5F5"/>
        <bgColor rgb="FFE8F5E9"/>
      </patternFill>
    </fill>
    <fill>
      <patternFill patternType="solid">
        <fgColor rgb="FFC5CAE9"/>
        <bgColor rgb="FFD0D0D0"/>
      </patternFill>
    </fill>
    <fill>
      <patternFill patternType="solid">
        <fgColor rgb="FFFFF3E0"/>
        <bgColor rgb="FFFFEBEE"/>
      </patternFill>
    </fill>
    <fill>
      <patternFill patternType="solid">
        <fgColor rgb="FFE8F5E9"/>
        <bgColor rgb="FFF5F5F5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4" borderId="0" xfId="0" applyFill="1"/>
    <xf numFmtId="0" fontId="0" fillId="5" borderId="0" xfId="0" applyFill="1"/>
    <xf numFmtId="0" fontId="0" fillId="10" borderId="0" xfId="0" applyFill="1"/>
    <xf numFmtId="0" fontId="26" fillId="1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0" fillId="12" borderId="0" xfId="0" applyFill="1"/>
    <xf numFmtId="0" fontId="27" fillId="12" borderId="1" xfId="0" applyFont="1" applyFill="1" applyBorder="1" applyAlignment="1">
      <alignment horizontal="center" vertical="center"/>
    </xf>
    <xf numFmtId="0" fontId="28" fillId="12" borderId="0" xfId="0" applyFont="1" applyFill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30" fillId="4" borderId="0" xfId="0" applyFont="1" applyFill="1" applyAlignment="1">
      <alignment vertical="center" wrapText="1"/>
    </xf>
    <xf numFmtId="0" fontId="30" fillId="5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0" fillId="6" borderId="0" xfId="0" applyFont="1" applyFill="1" applyAlignment="1">
      <alignment horizontal="left" vertical="top" wrapText="1"/>
    </xf>
    <xf numFmtId="0" fontId="29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left" vertical="center" indent="1"/>
      <protection locked="0"/>
    </xf>
    <xf numFmtId="0" fontId="7" fillId="4" borderId="0" xfId="0" applyFont="1" applyFill="1" applyAlignment="1" applyProtection="1">
      <alignment horizontal="left" vertical="center" wrapText="1" inden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0" fontId="8" fillId="4" borderId="0" xfId="0" applyFont="1" applyFill="1" applyProtection="1">
      <protection locked="0"/>
    </xf>
    <xf numFmtId="0" fontId="9" fillId="4" borderId="0" xfId="0" applyFont="1" applyFill="1" applyAlignment="1" applyProtection="1">
      <alignment wrapText="1"/>
      <protection locked="0"/>
    </xf>
    <xf numFmtId="0" fontId="8" fillId="5" borderId="0" xfId="0" applyFont="1" applyFill="1" applyProtection="1">
      <protection locked="0"/>
    </xf>
    <xf numFmtId="0" fontId="9" fillId="5" borderId="0" xfId="0" applyFont="1" applyFill="1" applyAlignment="1" applyProtection="1">
      <alignment wrapText="1"/>
      <protection locked="0"/>
    </xf>
    <xf numFmtId="0" fontId="10" fillId="6" borderId="0" xfId="0" applyFont="1" applyFill="1" applyAlignment="1" applyProtection="1">
      <alignment horizontal="left" vertical="center" wrapText="1" indent="1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 wrapText="1"/>
    </xf>
    <xf numFmtId="0" fontId="0" fillId="2" borderId="0" xfId="0" applyFill="1" applyProtection="1"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4" borderId="0" xfId="0" applyFill="1" applyProtection="1">
      <protection locked="0"/>
    </xf>
    <xf numFmtId="0" fontId="7" fillId="4" borderId="0" xfId="0" applyFont="1" applyFill="1" applyAlignment="1" applyProtection="1">
      <alignment vertical="center" wrapText="1"/>
      <protection locked="0"/>
    </xf>
    <xf numFmtId="0" fontId="17" fillId="8" borderId="1" xfId="0" applyFont="1" applyFill="1" applyBorder="1" applyAlignment="1" applyProtection="1">
      <alignment horizontal="center" vertical="center"/>
      <protection locked="0"/>
    </xf>
    <xf numFmtId="0" fontId="18" fillId="9" borderId="1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3" fontId="17" fillId="8" borderId="1" xfId="0" applyNumberFormat="1" applyFont="1" applyFill="1" applyBorder="1" applyAlignment="1" applyProtection="1">
      <alignment horizontal="center" vertical="center"/>
      <protection locked="0"/>
    </xf>
    <xf numFmtId="3" fontId="19" fillId="5" borderId="0" xfId="0" applyNumberFormat="1" applyFont="1" applyFill="1" applyAlignment="1" applyProtection="1">
      <alignment horizontal="center" vertical="center"/>
      <protection locked="0"/>
    </xf>
    <xf numFmtId="0" fontId="20" fillId="10" borderId="0" xfId="0" applyFont="1" applyFill="1" applyAlignment="1" applyProtection="1">
      <alignment horizontal="left" vertical="center" wrapText="1"/>
      <protection locked="0"/>
    </xf>
    <xf numFmtId="3" fontId="18" fillId="9" borderId="1" xfId="0" applyNumberFormat="1" applyFont="1" applyFill="1" applyBorder="1" applyAlignment="1" applyProtection="1">
      <alignment horizontal="center" vertical="center"/>
      <protection locked="0"/>
    </xf>
    <xf numFmtId="0" fontId="19" fillId="5" borderId="0" xfId="0" applyFont="1" applyFill="1" applyAlignment="1" applyProtection="1">
      <alignment horizontal="center" vertical="center"/>
      <protection locked="0"/>
    </xf>
    <xf numFmtId="0" fontId="0" fillId="10" borderId="0" xfId="0" applyFill="1" applyProtection="1">
      <protection locked="0"/>
    </xf>
    <xf numFmtId="0" fontId="20" fillId="10" borderId="0" xfId="0" applyFont="1" applyFill="1" applyAlignment="1" applyProtection="1">
      <alignment vertical="center" wrapText="1"/>
      <protection locked="0"/>
    </xf>
    <xf numFmtId="3" fontId="20" fillId="10" borderId="1" xfId="0" applyNumberFormat="1" applyFont="1" applyFill="1" applyBorder="1" applyAlignment="1" applyProtection="1">
      <alignment horizontal="center" vertical="center"/>
      <protection locked="0"/>
    </xf>
    <xf numFmtId="3" fontId="21" fillId="10" borderId="1" xfId="0" applyNumberFormat="1" applyFont="1" applyFill="1" applyBorder="1" applyAlignment="1" applyProtection="1">
      <alignment horizontal="center" vertical="center"/>
      <protection locked="0"/>
    </xf>
    <xf numFmtId="0" fontId="19" fillId="10" borderId="0" xfId="0" applyFont="1" applyFill="1" applyAlignment="1" applyProtection="1">
      <alignment horizontal="center" vertical="center"/>
      <protection locked="0"/>
    </xf>
    <xf numFmtId="3" fontId="7" fillId="5" borderId="1" xfId="0" applyNumberFormat="1" applyFont="1" applyFill="1" applyBorder="1" applyAlignment="1" applyProtection="1">
      <alignment horizontal="center" vertical="center"/>
      <protection locked="0"/>
    </xf>
    <xf numFmtId="3" fontId="18" fillId="5" borderId="1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vertical="center" wrapText="1"/>
      <protection locked="0"/>
    </xf>
    <xf numFmtId="3" fontId="20" fillId="4" borderId="1" xfId="0" applyNumberFormat="1" applyFont="1" applyFill="1" applyBorder="1" applyAlignment="1" applyProtection="1">
      <alignment horizontal="center" vertical="center"/>
      <protection locked="0"/>
    </xf>
    <xf numFmtId="3" fontId="21" fillId="4" borderId="1" xfId="0" applyNumberFormat="1" applyFont="1" applyFill="1" applyBorder="1" applyAlignment="1" applyProtection="1">
      <alignment horizontal="center" vertical="center"/>
      <protection locked="0"/>
    </xf>
    <xf numFmtId="1" fontId="7" fillId="5" borderId="1" xfId="0" applyNumberFormat="1" applyFont="1" applyFill="1" applyBorder="1" applyAlignment="1" applyProtection="1">
      <alignment horizontal="center" vertical="center"/>
      <protection locked="0"/>
    </xf>
    <xf numFmtId="1" fontId="18" fillId="5" borderId="1" xfId="0" applyNumberFormat="1" applyFont="1" applyFill="1" applyBorder="1" applyAlignment="1" applyProtection="1">
      <alignment horizontal="center" vertical="center"/>
      <protection locked="0"/>
    </xf>
    <xf numFmtId="3" fontId="7" fillId="4" borderId="1" xfId="0" applyNumberFormat="1" applyFont="1" applyFill="1" applyBorder="1" applyAlignment="1" applyProtection="1">
      <alignment horizontal="center" vertical="center"/>
      <protection locked="0"/>
    </xf>
    <xf numFmtId="3" fontId="18" fillId="4" borderId="1" xfId="0" applyNumberFormat="1" applyFont="1" applyFill="1" applyBorder="1" applyAlignment="1" applyProtection="1">
      <alignment horizontal="center" vertical="center"/>
      <protection locked="0"/>
    </xf>
    <xf numFmtId="0" fontId="0" fillId="11" borderId="0" xfId="0" applyFill="1" applyProtection="1">
      <protection locked="0"/>
    </xf>
    <xf numFmtId="0" fontId="20" fillId="11" borderId="0" xfId="0" applyFont="1" applyFill="1" applyAlignment="1" applyProtection="1">
      <alignment vertical="center" wrapText="1"/>
      <protection locked="0"/>
    </xf>
    <xf numFmtId="3" fontId="20" fillId="11" borderId="1" xfId="0" applyNumberFormat="1" applyFont="1" applyFill="1" applyBorder="1" applyAlignment="1" applyProtection="1">
      <alignment horizontal="center" vertical="center"/>
      <protection locked="0"/>
    </xf>
    <xf numFmtId="3" fontId="21" fillId="11" borderId="1" xfId="0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 applyProtection="1">
      <protection locked="0"/>
    </xf>
    <xf numFmtId="0" fontId="7" fillId="9" borderId="0" xfId="0" applyFont="1" applyFill="1" applyAlignment="1" applyProtection="1">
      <alignment vertical="center" wrapText="1"/>
      <protection locked="0"/>
    </xf>
    <xf numFmtId="3" fontId="7" fillId="9" borderId="1" xfId="0" applyNumberFormat="1" applyFont="1" applyFill="1" applyBorder="1" applyAlignment="1" applyProtection="1">
      <alignment horizontal="center" vertical="center"/>
      <protection locked="0"/>
    </xf>
    <xf numFmtId="0" fontId="19" fillId="9" borderId="0" xfId="0" applyFont="1" applyFill="1" applyAlignment="1" applyProtection="1">
      <alignment horizontal="center" vertical="center"/>
      <protection locked="0"/>
    </xf>
    <xf numFmtId="0" fontId="0" fillId="7" borderId="0" xfId="0" applyFill="1" applyProtection="1">
      <protection locked="0"/>
    </xf>
    <xf numFmtId="0" fontId="7" fillId="7" borderId="0" xfId="0" applyFont="1" applyFill="1" applyAlignment="1" applyProtection="1">
      <alignment vertical="center" wrapText="1"/>
      <protection locked="0"/>
    </xf>
    <xf numFmtId="3" fontId="7" fillId="7" borderId="1" xfId="0" applyNumberFormat="1" applyFont="1" applyFill="1" applyBorder="1" applyAlignment="1" applyProtection="1">
      <alignment horizontal="center" vertical="center"/>
      <protection locked="0"/>
    </xf>
    <xf numFmtId="0" fontId="20" fillId="5" borderId="0" xfId="0" applyFont="1" applyFill="1" applyAlignment="1" applyProtection="1">
      <alignment vertical="center" wrapText="1"/>
      <protection locked="0"/>
    </xf>
    <xf numFmtId="3" fontId="20" fillId="5" borderId="1" xfId="0" applyNumberFormat="1" applyFont="1" applyFill="1" applyBorder="1" applyAlignment="1" applyProtection="1">
      <alignment horizontal="center" vertical="center"/>
      <protection locked="0"/>
    </xf>
    <xf numFmtId="9" fontId="7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vertical="center" wrapText="1"/>
      <protection locked="0"/>
    </xf>
    <xf numFmtId="0" fontId="22" fillId="2" borderId="0" xfId="0" applyFont="1" applyFill="1" applyAlignment="1" applyProtection="1">
      <alignment vertical="center"/>
      <protection locked="0"/>
    </xf>
    <xf numFmtId="3" fontId="22" fillId="2" borderId="1" xfId="0" applyNumberFormat="1" applyFont="1" applyFill="1" applyBorder="1" applyAlignment="1" applyProtection="1">
      <alignment horizontal="center" vertical="center"/>
      <protection locked="0"/>
    </xf>
    <xf numFmtId="0" fontId="23" fillId="12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9" borderId="0" xfId="0" applyFont="1" applyFill="1" applyAlignment="1" applyProtection="1">
      <alignment vertical="center" wrapText="1"/>
      <protection locked="0"/>
    </xf>
    <xf numFmtId="0" fontId="19" fillId="5" borderId="0" xfId="0" applyFont="1" applyFill="1" applyAlignment="1" applyProtection="1">
      <alignment vertical="center" wrapText="1"/>
      <protection locked="0"/>
    </xf>
    <xf numFmtId="0" fontId="24" fillId="5" borderId="0" xfId="0" applyFont="1" applyFill="1" applyAlignment="1" applyProtection="1">
      <alignment vertical="center" wrapText="1"/>
      <protection locked="0"/>
    </xf>
    <xf numFmtId="0" fontId="24" fillId="9" borderId="0" xfId="0" applyFont="1" applyFill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horizontal="left" vertical="center" indent="1"/>
    </xf>
    <xf numFmtId="0" fontId="13" fillId="2" borderId="0" xfId="0" applyFont="1" applyFill="1" applyAlignment="1" applyProtection="1">
      <alignment horizontal="right" vertical="center" wrapText="1" indent="1"/>
    </xf>
    <xf numFmtId="0" fontId="14" fillId="3" borderId="0" xfId="0" applyFont="1" applyFill="1" applyAlignment="1" applyProtection="1">
      <alignment horizontal="left" vertical="center"/>
    </xf>
    <xf numFmtId="0" fontId="15" fillId="7" borderId="0" xfId="0" applyFont="1" applyFill="1" applyAlignment="1" applyProtection="1">
      <alignment horizontal="left" vertical="center"/>
    </xf>
    <xf numFmtId="0" fontId="16" fillId="2" borderId="0" xfId="0" applyFont="1" applyFill="1" applyAlignment="1" applyProtection="1">
      <alignment vertical="center"/>
    </xf>
    <xf numFmtId="0" fontId="16" fillId="2" borderId="0" xfId="0" applyFont="1" applyFill="1" applyAlignment="1" applyProtection="1">
      <alignment horizontal="center" vertical="center"/>
    </xf>
    <xf numFmtId="0" fontId="0" fillId="2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D0D0"/>
      <rgbColor rgb="FF808080"/>
      <rgbColor rgb="FF9999FF"/>
      <rgbColor rgb="FF993366"/>
      <rgbColor rgb="FFFFFDE7"/>
      <rgbColor rgb="FFDCEE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E8EAF6"/>
      <rgbColor rgb="FFFFF3E0"/>
      <rgbColor rgb="FFF5F5F5"/>
      <rgbColor rgb="FFFF99CC"/>
      <rgbColor rgb="FFCC99FF"/>
      <rgbColor rgb="FFFFEBEE"/>
      <rgbColor rgb="FF3366FF"/>
      <rgbColor rgb="FF33CCCC"/>
      <rgbColor rgb="FF99CC00"/>
      <rgbColor rgb="FFFFCC00"/>
      <rgbColor rgb="FFF9A825"/>
      <rgbColor rgb="FFE65100"/>
      <rgbColor rgb="FF666699"/>
      <rgbColor rgb="FF9E9E9E"/>
      <rgbColor rgb="FF1A237E"/>
      <rgbColor rgb="FF2E7D32"/>
      <rgbColor rgb="FF003300"/>
      <rgbColor rgb="FF333300"/>
      <rgbColor rgb="FFC62828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zoomScaleNormal="100" workbookViewId="0">
      <selection activeCell="A2" sqref="A2:D10"/>
    </sheetView>
  </sheetViews>
  <sheetFormatPr defaultColWidth="8.7109375" defaultRowHeight="15" x14ac:dyDescent="0.25"/>
  <cols>
    <col min="1" max="1" width="3" style="25" customWidth="1"/>
    <col min="2" max="2" width="70" style="25" customWidth="1"/>
    <col min="3" max="3" width="22" style="25" customWidth="1"/>
    <col min="4" max="4" width="3" style="25" customWidth="1"/>
    <col min="5" max="16384" width="8.7109375" style="25"/>
  </cols>
  <sheetData>
    <row r="1" spans="1:4" ht="7.5" customHeight="1" x14ac:dyDescent="0.25"/>
    <row r="2" spans="1:4" ht="45.75" customHeight="1" x14ac:dyDescent="0.25">
      <c r="A2" s="35" t="s">
        <v>0</v>
      </c>
      <c r="B2" s="35"/>
      <c r="C2" s="35"/>
      <c r="D2" s="35"/>
    </row>
    <row r="3" spans="1:4" ht="21.75" customHeight="1" x14ac:dyDescent="0.25">
      <c r="A3" s="36" t="s">
        <v>1</v>
      </c>
      <c r="B3" s="36"/>
      <c r="C3" s="36"/>
      <c r="D3" s="36"/>
    </row>
    <row r="4" spans="1:4" ht="9.75" customHeight="1" x14ac:dyDescent="0.25">
      <c r="A4" s="37"/>
      <c r="B4" s="37"/>
      <c r="C4" s="37"/>
      <c r="D4" s="37"/>
    </row>
    <row r="5" spans="1:4" x14ac:dyDescent="0.25">
      <c r="A5" s="37"/>
      <c r="B5" s="37"/>
      <c r="C5" s="37"/>
      <c r="D5" s="37"/>
    </row>
    <row r="6" spans="1:4" ht="31.5" customHeight="1" x14ac:dyDescent="0.25">
      <c r="A6" s="38" t="s">
        <v>2</v>
      </c>
      <c r="B6" s="38"/>
      <c r="C6" s="38"/>
      <c r="D6" s="38"/>
    </row>
    <row r="7" spans="1:4" ht="31.5" customHeight="1" x14ac:dyDescent="0.25">
      <c r="A7" s="38"/>
      <c r="B7" s="38"/>
      <c r="C7" s="38"/>
      <c r="D7" s="38"/>
    </row>
    <row r="8" spans="1:4" ht="21.75" customHeight="1" x14ac:dyDescent="0.25">
      <c r="A8" s="39" t="s">
        <v>3</v>
      </c>
      <c r="B8" s="39"/>
      <c r="C8" s="39"/>
      <c r="D8" s="39"/>
    </row>
    <row r="9" spans="1:4" ht="9.75" customHeight="1" x14ac:dyDescent="0.25">
      <c r="A9" s="37"/>
      <c r="B9" s="37"/>
      <c r="C9" s="37"/>
      <c r="D9" s="37"/>
    </row>
    <row r="10" spans="1:4" ht="30" customHeight="1" x14ac:dyDescent="0.25">
      <c r="A10" s="40" t="s">
        <v>4</v>
      </c>
      <c r="B10" s="40"/>
      <c r="C10" s="40"/>
      <c r="D10" s="40"/>
    </row>
    <row r="11" spans="1:4" ht="13.5" customHeight="1" x14ac:dyDescent="0.25"/>
    <row r="12" spans="1:4" ht="24" customHeight="1" x14ac:dyDescent="0.25">
      <c r="A12" s="26" t="s">
        <v>5</v>
      </c>
      <c r="B12" s="26"/>
      <c r="C12" s="26"/>
      <c r="D12" s="26"/>
    </row>
    <row r="13" spans="1:4" ht="31.5" customHeight="1" x14ac:dyDescent="0.25">
      <c r="A13" s="27" t="s">
        <v>6</v>
      </c>
      <c r="B13" s="27"/>
      <c r="C13" s="27"/>
      <c r="D13" s="27"/>
    </row>
    <row r="14" spans="1:4" ht="31.5" customHeight="1" x14ac:dyDescent="0.25">
      <c r="A14" s="28" t="s">
        <v>7</v>
      </c>
      <c r="B14" s="28"/>
      <c r="C14" s="28"/>
      <c r="D14" s="28"/>
    </row>
    <row r="15" spans="1:4" ht="31.5" customHeight="1" x14ac:dyDescent="0.25">
      <c r="A15" s="27" t="s">
        <v>8</v>
      </c>
      <c r="B15" s="27"/>
      <c r="C15" s="27"/>
      <c r="D15" s="27"/>
    </row>
    <row r="16" spans="1:4" ht="31.5" customHeight="1" x14ac:dyDescent="0.25">
      <c r="A16" s="28" t="s">
        <v>9</v>
      </c>
      <c r="B16" s="28"/>
      <c r="C16" s="28"/>
      <c r="D16" s="28"/>
    </row>
    <row r="17" spans="1:4" ht="31.5" customHeight="1" x14ac:dyDescent="0.25">
      <c r="A17" s="27" t="s">
        <v>10</v>
      </c>
      <c r="B17" s="27"/>
      <c r="C17" s="27"/>
      <c r="D17" s="27"/>
    </row>
    <row r="18" spans="1:4" ht="31.5" customHeight="1" x14ac:dyDescent="0.25">
      <c r="A18" s="28" t="s">
        <v>11</v>
      </c>
      <c r="B18" s="28"/>
      <c r="C18" s="28"/>
      <c r="D18" s="28"/>
    </row>
    <row r="19" spans="1:4" ht="31.5" customHeight="1" x14ac:dyDescent="0.25">
      <c r="A19" s="27" t="s">
        <v>12</v>
      </c>
      <c r="B19" s="27"/>
      <c r="C19" s="27"/>
      <c r="D19" s="27"/>
    </row>
    <row r="21" spans="1:4" ht="24" customHeight="1" x14ac:dyDescent="0.25">
      <c r="A21" s="26" t="s">
        <v>13</v>
      </c>
      <c r="B21" s="26"/>
      <c r="C21" s="26"/>
      <c r="D21" s="26"/>
    </row>
    <row r="22" spans="1:4" ht="24" customHeight="1" x14ac:dyDescent="0.25">
      <c r="A22" s="29" t="s">
        <v>14</v>
      </c>
      <c r="B22" s="29" t="s">
        <v>15</v>
      </c>
      <c r="C22" s="30" t="s">
        <v>16</v>
      </c>
      <c r="D22" s="30"/>
    </row>
    <row r="23" spans="1:4" ht="24" customHeight="1" x14ac:dyDescent="0.25">
      <c r="A23" s="31" t="s">
        <v>14</v>
      </c>
      <c r="B23" s="31" t="s">
        <v>17</v>
      </c>
      <c r="C23" s="32" t="s">
        <v>18</v>
      </c>
      <c r="D23" s="32"/>
    </row>
    <row r="24" spans="1:4" ht="24" customHeight="1" x14ac:dyDescent="0.25">
      <c r="A24" s="29" t="s">
        <v>14</v>
      </c>
      <c r="B24" s="29" t="s">
        <v>19</v>
      </c>
      <c r="C24" s="30" t="s">
        <v>20</v>
      </c>
      <c r="D24" s="30"/>
    </row>
    <row r="26" spans="1:4" ht="33.75" customHeight="1" x14ac:dyDescent="0.25">
      <c r="A26" s="33" t="s">
        <v>21</v>
      </c>
      <c r="B26" s="33"/>
      <c r="C26" s="33"/>
      <c r="D26" s="33"/>
    </row>
    <row r="28" spans="1:4" ht="21.75" customHeight="1" x14ac:dyDescent="0.25">
      <c r="A28" s="34" t="s">
        <v>22</v>
      </c>
      <c r="B28" s="34"/>
      <c r="C28" s="34"/>
      <c r="D28" s="34"/>
    </row>
  </sheetData>
  <sheetProtection algorithmName="SHA-512" hashValue="9130r70F0rMH1ddWbDNIFi1Y/4XgzamXtf9ly0vTHXSWNSkP3jVo3xof3GnPyFyscmxXWv9DyBjx4HexXqk5ow==" saltValue="JTjvKn8sCsBh7Hp/zgrXmw==" spinCount="100000" sheet="1" objects="1" scenarios="1"/>
  <mergeCells count="19">
    <mergeCell ref="A2:D2"/>
    <mergeCell ref="A3:D3"/>
    <mergeCell ref="A6:D7"/>
    <mergeCell ref="A8:D8"/>
    <mergeCell ref="A10:D10"/>
    <mergeCell ref="A12:D12"/>
    <mergeCell ref="A13:D13"/>
    <mergeCell ref="A14:D14"/>
    <mergeCell ref="A15:D15"/>
    <mergeCell ref="A16:D16"/>
    <mergeCell ref="C23:D23"/>
    <mergeCell ref="C24:D24"/>
    <mergeCell ref="A26:D26"/>
    <mergeCell ref="A28:D28"/>
    <mergeCell ref="A17:D17"/>
    <mergeCell ref="A18:D18"/>
    <mergeCell ref="A19:D19"/>
    <mergeCell ref="A21:D21"/>
    <mergeCell ref="C22:D2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F6"/>
    </sheetView>
  </sheetViews>
  <sheetFormatPr defaultColWidth="8.7109375" defaultRowHeight="15" x14ac:dyDescent="0.25"/>
  <cols>
    <col min="1" max="1" width="2" style="25" customWidth="1"/>
    <col min="2" max="2" width="64.42578125" style="25" customWidth="1"/>
    <col min="3" max="4" width="20" style="25" customWidth="1"/>
    <col min="5" max="5" width="22" style="25" customWidth="1"/>
    <col min="6" max="6" width="4" style="25" customWidth="1"/>
    <col min="7" max="16384" width="8.7109375" style="25"/>
  </cols>
  <sheetData>
    <row r="1" spans="1:6" ht="7.5" customHeight="1" x14ac:dyDescent="0.25"/>
    <row r="2" spans="1:6" ht="39.75" customHeight="1" x14ac:dyDescent="0.25">
      <c r="A2" s="92" t="s">
        <v>0</v>
      </c>
      <c r="B2" s="92"/>
      <c r="C2" s="93" t="s">
        <v>2</v>
      </c>
      <c r="D2" s="93"/>
      <c r="E2" s="93"/>
      <c r="F2" s="93"/>
    </row>
    <row r="3" spans="1:6" ht="21.75" customHeight="1" x14ac:dyDescent="0.25">
      <c r="A3" s="94" t="s">
        <v>23</v>
      </c>
      <c r="B3" s="94"/>
      <c r="C3" s="94"/>
      <c r="D3" s="94"/>
      <c r="E3" s="94"/>
      <c r="F3" s="94"/>
    </row>
    <row r="4" spans="1:6" ht="19.5" customHeight="1" x14ac:dyDescent="0.25">
      <c r="A4" s="95" t="s">
        <v>24</v>
      </c>
      <c r="B4" s="95"/>
      <c r="C4" s="95"/>
      <c r="D4" s="95"/>
      <c r="E4" s="95"/>
      <c r="F4" s="95"/>
    </row>
    <row r="5" spans="1:6" x14ac:dyDescent="0.25">
      <c r="A5" s="37"/>
      <c r="B5" s="37"/>
      <c r="C5" s="37"/>
      <c r="D5" s="37"/>
      <c r="E5" s="37"/>
      <c r="F5" s="37"/>
    </row>
    <row r="6" spans="1:6" ht="19.5" customHeight="1" x14ac:dyDescent="0.25">
      <c r="A6" s="96" t="s">
        <v>25</v>
      </c>
      <c r="B6" s="96"/>
      <c r="C6" s="97" t="s">
        <v>26</v>
      </c>
      <c r="D6" s="97" t="s">
        <v>27</v>
      </c>
      <c r="E6" s="97" t="s">
        <v>28</v>
      </c>
      <c r="F6" s="98"/>
    </row>
    <row r="7" spans="1:6" ht="21.75" customHeight="1" x14ac:dyDescent="0.25">
      <c r="A7" s="42" t="s">
        <v>29</v>
      </c>
      <c r="B7" s="42"/>
      <c r="C7" s="42"/>
      <c r="D7" s="42"/>
      <c r="E7" s="42"/>
      <c r="F7" s="42"/>
    </row>
    <row r="8" spans="1:6" ht="19.5" customHeight="1" x14ac:dyDescent="0.25">
      <c r="A8" s="43"/>
      <c r="B8" s="44" t="s">
        <v>30</v>
      </c>
      <c r="C8" s="45" t="s">
        <v>31</v>
      </c>
      <c r="D8" s="46" t="str">
        <f>C8</f>
        <v>Below 60 yrs</v>
      </c>
      <c r="E8" s="47" t="s">
        <v>32</v>
      </c>
      <c r="F8" s="43"/>
    </row>
    <row r="9" spans="1:6" ht="33.75" customHeight="1" x14ac:dyDescent="0.25">
      <c r="A9" s="48"/>
      <c r="B9" s="49" t="s">
        <v>33</v>
      </c>
      <c r="C9" s="50">
        <v>1000000</v>
      </c>
      <c r="D9" s="50">
        <v>1000000</v>
      </c>
      <c r="E9" s="51">
        <f>C9-D9</f>
        <v>0</v>
      </c>
      <c r="F9" s="48"/>
    </row>
    <row r="11" spans="1:6" ht="21.75" customHeight="1" x14ac:dyDescent="0.25">
      <c r="A11" s="42" t="s">
        <v>34</v>
      </c>
      <c r="B11" s="42"/>
      <c r="C11" s="42"/>
      <c r="D11" s="42"/>
      <c r="E11" s="42"/>
      <c r="F11" s="42"/>
    </row>
    <row r="12" spans="1:6" ht="19.5" customHeight="1" x14ac:dyDescent="0.25">
      <c r="A12" s="52" t="s">
        <v>35</v>
      </c>
      <c r="B12" s="52"/>
      <c r="C12" s="52"/>
      <c r="D12" s="52"/>
      <c r="E12" s="52"/>
      <c r="F12" s="52"/>
    </row>
    <row r="13" spans="1:6" ht="30" customHeight="1" x14ac:dyDescent="0.25">
      <c r="A13" s="43"/>
      <c r="B13" s="44" t="s">
        <v>36</v>
      </c>
      <c r="C13" s="50">
        <v>0</v>
      </c>
      <c r="D13" s="53">
        <f>C13</f>
        <v>0</v>
      </c>
      <c r="E13" s="47" t="s">
        <v>32</v>
      </c>
      <c r="F13" s="43"/>
    </row>
    <row r="14" spans="1:6" ht="30.75" customHeight="1" x14ac:dyDescent="0.25">
      <c r="A14" s="48"/>
      <c r="B14" s="49" t="s">
        <v>37</v>
      </c>
      <c r="C14" s="50">
        <v>0</v>
      </c>
      <c r="D14" s="53">
        <f>C14</f>
        <v>0</v>
      </c>
      <c r="E14" s="54" t="s">
        <v>32</v>
      </c>
      <c r="F14" s="48"/>
    </row>
    <row r="15" spans="1:6" ht="39.75" customHeight="1" x14ac:dyDescent="0.25">
      <c r="A15" s="43"/>
      <c r="B15" s="44" t="s">
        <v>38</v>
      </c>
      <c r="C15" s="50">
        <v>0</v>
      </c>
      <c r="D15" s="53">
        <f>C15</f>
        <v>0</v>
      </c>
      <c r="E15" s="47" t="s">
        <v>32</v>
      </c>
      <c r="F15" s="43"/>
    </row>
    <row r="17" spans="1:6" ht="21.75" customHeight="1" x14ac:dyDescent="0.25">
      <c r="A17" s="42" t="s">
        <v>39</v>
      </c>
      <c r="B17" s="42"/>
      <c r="C17" s="42"/>
      <c r="D17" s="42"/>
      <c r="E17" s="42"/>
      <c r="F17" s="42"/>
    </row>
    <row r="18" spans="1:6" ht="19.5" customHeight="1" x14ac:dyDescent="0.25">
      <c r="A18" s="52" t="s">
        <v>40</v>
      </c>
      <c r="B18" s="52"/>
      <c r="C18" s="52"/>
      <c r="D18" s="52"/>
      <c r="E18" s="52"/>
      <c r="F18" s="52"/>
    </row>
    <row r="19" spans="1:6" ht="19.5" customHeight="1" x14ac:dyDescent="0.25">
      <c r="B19" s="52" t="s">
        <v>41</v>
      </c>
      <c r="C19" s="52"/>
      <c r="D19" s="52"/>
      <c r="E19" s="52"/>
      <c r="F19" s="52"/>
    </row>
    <row r="20" spans="1:6" ht="19.5" customHeight="1" x14ac:dyDescent="0.25">
      <c r="A20" s="43"/>
      <c r="B20" s="44" t="s">
        <v>42</v>
      </c>
      <c r="C20" s="50">
        <v>0</v>
      </c>
      <c r="D20" s="53">
        <f>C20</f>
        <v>0</v>
      </c>
      <c r="E20" s="47" t="s">
        <v>32</v>
      </c>
      <c r="F20" s="43"/>
    </row>
    <row r="21" spans="1:6" ht="19.5" customHeight="1" x14ac:dyDescent="0.25">
      <c r="A21" s="48"/>
      <c r="B21" s="49" t="s">
        <v>43</v>
      </c>
      <c r="C21" s="50">
        <v>0</v>
      </c>
      <c r="D21" s="53">
        <f>C21</f>
        <v>0</v>
      </c>
      <c r="E21" s="54" t="s">
        <v>32</v>
      </c>
      <c r="F21" s="48"/>
    </row>
    <row r="22" spans="1:6" ht="19.5" customHeight="1" x14ac:dyDescent="0.25">
      <c r="A22" s="55"/>
      <c r="B22" s="56" t="s">
        <v>44</v>
      </c>
      <c r="C22" s="57">
        <f>MAX(0,C20-C21)</f>
        <v>0</v>
      </c>
      <c r="D22" s="58">
        <f>C22</f>
        <v>0</v>
      </c>
      <c r="E22" s="59" t="s">
        <v>32</v>
      </c>
      <c r="F22" s="55"/>
    </row>
    <row r="24" spans="1:6" ht="19.5" customHeight="1" x14ac:dyDescent="0.25">
      <c r="B24" s="52" t="s">
        <v>45</v>
      </c>
      <c r="C24" s="52"/>
      <c r="D24" s="52"/>
      <c r="E24" s="52"/>
      <c r="F24" s="52"/>
    </row>
    <row r="25" spans="1:6" ht="19.5" customHeight="1" x14ac:dyDescent="0.25">
      <c r="A25" s="43"/>
      <c r="B25" s="44" t="s">
        <v>42</v>
      </c>
      <c r="C25" s="50">
        <v>0</v>
      </c>
      <c r="D25" s="53">
        <f>C25</f>
        <v>0</v>
      </c>
      <c r="E25" s="47" t="s">
        <v>32</v>
      </c>
      <c r="F25" s="43"/>
    </row>
    <row r="26" spans="1:6" ht="19.5" customHeight="1" x14ac:dyDescent="0.25">
      <c r="A26" s="48"/>
      <c r="B26" s="49" t="s">
        <v>43</v>
      </c>
      <c r="C26" s="50">
        <v>0</v>
      </c>
      <c r="D26" s="53">
        <f>C26</f>
        <v>0</v>
      </c>
      <c r="E26" s="54" t="s">
        <v>32</v>
      </c>
      <c r="F26" s="48"/>
    </row>
    <row r="27" spans="1:6" ht="19.5" customHeight="1" x14ac:dyDescent="0.25">
      <c r="A27" s="55"/>
      <c r="B27" s="56" t="s">
        <v>46</v>
      </c>
      <c r="C27" s="57">
        <f>MAX(0,C25-C26)</f>
        <v>0</v>
      </c>
      <c r="D27" s="58">
        <f>C27</f>
        <v>0</v>
      </c>
      <c r="E27" s="59" t="s">
        <v>32</v>
      </c>
      <c r="F27" s="55"/>
    </row>
    <row r="29" spans="1:6" ht="21.75" customHeight="1" x14ac:dyDescent="0.25">
      <c r="A29" s="42" t="s">
        <v>47</v>
      </c>
      <c r="B29" s="42"/>
      <c r="C29" s="42"/>
      <c r="D29" s="42"/>
      <c r="E29" s="42"/>
      <c r="F29" s="42"/>
    </row>
    <row r="30" spans="1:6" ht="19.5" customHeight="1" x14ac:dyDescent="0.25">
      <c r="A30" s="52" t="s">
        <v>48</v>
      </c>
      <c r="B30" s="52"/>
      <c r="C30" s="52"/>
      <c r="D30" s="52"/>
      <c r="E30" s="52"/>
      <c r="F30" s="52"/>
    </row>
    <row r="31" spans="1:6" ht="19.5" customHeight="1" x14ac:dyDescent="0.25">
      <c r="A31" s="43"/>
      <c r="B31" s="44" t="s">
        <v>42</v>
      </c>
      <c r="C31" s="50">
        <v>0</v>
      </c>
      <c r="D31" s="53">
        <f>C31</f>
        <v>0</v>
      </c>
      <c r="E31" s="47" t="s">
        <v>32</v>
      </c>
      <c r="F31" s="43"/>
    </row>
    <row r="32" spans="1:6" ht="19.5" customHeight="1" x14ac:dyDescent="0.25">
      <c r="A32" s="48"/>
      <c r="B32" s="49" t="s">
        <v>43</v>
      </c>
      <c r="C32" s="50">
        <v>0</v>
      </c>
      <c r="D32" s="53">
        <f>C32</f>
        <v>0</v>
      </c>
      <c r="E32" s="54" t="s">
        <v>32</v>
      </c>
      <c r="F32" s="48"/>
    </row>
    <row r="33" spans="1:6" ht="19.5" customHeight="1" x14ac:dyDescent="0.25">
      <c r="A33" s="55"/>
      <c r="B33" s="56" t="s">
        <v>49</v>
      </c>
      <c r="C33" s="57">
        <f>MAX(0,C31-C32)</f>
        <v>0</v>
      </c>
      <c r="D33" s="58">
        <f>C33</f>
        <v>0</v>
      </c>
      <c r="E33" s="59" t="s">
        <v>32</v>
      </c>
      <c r="F33" s="55"/>
    </row>
    <row r="35" spans="1:6" ht="21.75" customHeight="1" x14ac:dyDescent="0.25">
      <c r="A35" s="42" t="s">
        <v>50</v>
      </c>
      <c r="B35" s="42"/>
      <c r="C35" s="42"/>
      <c r="D35" s="42"/>
      <c r="E35" s="42"/>
      <c r="F35" s="42"/>
    </row>
    <row r="36" spans="1:6" ht="19.5" customHeight="1" x14ac:dyDescent="0.25">
      <c r="A36" s="52" t="s">
        <v>51</v>
      </c>
      <c r="B36" s="52"/>
      <c r="C36" s="52"/>
      <c r="D36" s="52"/>
      <c r="E36" s="52"/>
      <c r="F36" s="52"/>
    </row>
    <row r="37" spans="1:6" ht="19.5" customHeight="1" x14ac:dyDescent="0.25">
      <c r="B37" s="52" t="s">
        <v>52</v>
      </c>
      <c r="C37" s="52"/>
      <c r="D37" s="52"/>
      <c r="E37" s="52"/>
      <c r="F37" s="52"/>
    </row>
    <row r="38" spans="1:6" ht="19.5" customHeight="1" x14ac:dyDescent="0.25">
      <c r="A38" s="43"/>
      <c r="B38" s="44" t="s">
        <v>42</v>
      </c>
      <c r="C38" s="50">
        <v>0</v>
      </c>
      <c r="D38" s="53">
        <f>C38</f>
        <v>0</v>
      </c>
      <c r="E38" s="47" t="s">
        <v>32</v>
      </c>
      <c r="F38" s="43"/>
    </row>
    <row r="39" spans="1:6" ht="19.5" customHeight="1" x14ac:dyDescent="0.25">
      <c r="A39" s="48"/>
      <c r="B39" s="49" t="s">
        <v>43</v>
      </c>
      <c r="C39" s="50">
        <v>0</v>
      </c>
      <c r="D39" s="53">
        <f>C39</f>
        <v>0</v>
      </c>
      <c r="E39" s="54" t="s">
        <v>32</v>
      </c>
      <c r="F39" s="48"/>
    </row>
    <row r="40" spans="1:6" ht="19.5" customHeight="1" x14ac:dyDescent="0.25">
      <c r="A40" s="55"/>
      <c r="B40" s="56" t="s">
        <v>53</v>
      </c>
      <c r="C40" s="57">
        <f>MAX(0,C38-C39)</f>
        <v>0</v>
      </c>
      <c r="D40" s="58">
        <f>C40</f>
        <v>0</v>
      </c>
      <c r="E40" s="59" t="s">
        <v>32</v>
      </c>
      <c r="F40" s="55"/>
    </row>
    <row r="42" spans="1:6" ht="19.5" customHeight="1" x14ac:dyDescent="0.25">
      <c r="B42" s="52" t="s">
        <v>54</v>
      </c>
      <c r="C42" s="52"/>
      <c r="D42" s="52"/>
      <c r="E42" s="52"/>
      <c r="F42" s="52"/>
    </row>
    <row r="43" spans="1:6" ht="19.5" customHeight="1" x14ac:dyDescent="0.25">
      <c r="A43" s="43"/>
      <c r="B43" s="44" t="s">
        <v>55</v>
      </c>
      <c r="C43" s="45" t="s">
        <v>56</v>
      </c>
      <c r="D43" s="46" t="str">
        <f t="shared" ref="D43:D58" si="0">C43</f>
        <v>Yes</v>
      </c>
      <c r="E43" s="47" t="s">
        <v>32</v>
      </c>
      <c r="F43" s="43"/>
    </row>
    <row r="44" spans="1:6" ht="28.5" customHeight="1" x14ac:dyDescent="0.25">
      <c r="A44" s="48"/>
      <c r="B44" s="49" t="s">
        <v>57</v>
      </c>
      <c r="C44" s="45" t="s">
        <v>58</v>
      </c>
      <c r="D44" s="46" t="str">
        <f t="shared" si="0"/>
        <v>2012-13</v>
      </c>
      <c r="E44" s="54" t="s">
        <v>32</v>
      </c>
      <c r="F44" s="48"/>
    </row>
    <row r="45" spans="1:6" ht="19.5" customHeight="1" x14ac:dyDescent="0.25">
      <c r="A45" s="43"/>
      <c r="B45" s="44" t="s">
        <v>42</v>
      </c>
      <c r="C45" s="50">
        <v>0</v>
      </c>
      <c r="D45" s="53">
        <f t="shared" si="0"/>
        <v>0</v>
      </c>
      <c r="E45" s="47" t="s">
        <v>32</v>
      </c>
      <c r="F45" s="43"/>
    </row>
    <row r="46" spans="1:6" ht="19.5" customHeight="1" x14ac:dyDescent="0.25">
      <c r="A46" s="48"/>
      <c r="B46" s="49" t="s">
        <v>59</v>
      </c>
      <c r="C46" s="50">
        <v>0</v>
      </c>
      <c r="D46" s="53">
        <f t="shared" si="0"/>
        <v>0</v>
      </c>
      <c r="E46" s="54" t="s">
        <v>32</v>
      </c>
      <c r="F46" s="48"/>
    </row>
    <row r="47" spans="1:6" ht="19.5" customHeight="1" x14ac:dyDescent="0.25">
      <c r="A47" s="43"/>
      <c r="B47" s="44" t="s">
        <v>60</v>
      </c>
      <c r="C47" s="50">
        <v>0</v>
      </c>
      <c r="D47" s="53">
        <f t="shared" si="0"/>
        <v>0</v>
      </c>
      <c r="E47" s="47" t="s">
        <v>32</v>
      </c>
      <c r="F47" s="43"/>
    </row>
    <row r="48" spans="1:6" ht="19.5" customHeight="1" x14ac:dyDescent="0.25">
      <c r="A48" s="48"/>
      <c r="B48" s="49" t="s">
        <v>61</v>
      </c>
      <c r="C48" s="60">
        <f>MAX(0,C45-C46-C47)</f>
        <v>0</v>
      </c>
      <c r="D48" s="61">
        <f t="shared" si="0"/>
        <v>0</v>
      </c>
      <c r="E48" s="54" t="s">
        <v>32</v>
      </c>
      <c r="F48" s="48"/>
    </row>
    <row r="49" spans="1:6" ht="19.5" customHeight="1" x14ac:dyDescent="0.25">
      <c r="A49" s="48"/>
      <c r="B49" s="49" t="s">
        <v>62</v>
      </c>
      <c r="C49" s="60">
        <f>MAX(0,C48-C13-C14)</f>
        <v>0</v>
      </c>
      <c r="D49" s="61">
        <f t="shared" si="0"/>
        <v>0</v>
      </c>
      <c r="E49" s="54" t="s">
        <v>32</v>
      </c>
      <c r="F49" s="48"/>
    </row>
    <row r="50" spans="1:6" ht="19.5" customHeight="1" x14ac:dyDescent="0.25">
      <c r="A50" s="43"/>
      <c r="B50" s="62" t="s">
        <v>63</v>
      </c>
      <c r="C50" s="63">
        <f>C49*0.125</f>
        <v>0</v>
      </c>
      <c r="D50" s="64">
        <f t="shared" si="0"/>
        <v>0</v>
      </c>
      <c r="E50" s="47" t="s">
        <v>32</v>
      </c>
      <c r="F50" s="43"/>
    </row>
    <row r="51" spans="1:6" ht="19.5" customHeight="1" x14ac:dyDescent="0.25">
      <c r="A51" s="48"/>
      <c r="B51" s="49" t="s">
        <v>64</v>
      </c>
      <c r="C51" s="65">
        <f>IFERROR(INDEX('📋 CII &amp; Rate Reference'!$C$6:$C$29,MATCH(C44,'📋 CII &amp; Rate Reference'!$B$6:$B$29,0)),100)</f>
        <v>200</v>
      </c>
      <c r="D51" s="66">
        <f t="shared" si="0"/>
        <v>200</v>
      </c>
      <c r="E51" s="54" t="s">
        <v>32</v>
      </c>
      <c r="F51" s="48"/>
    </row>
    <row r="52" spans="1:6" ht="19.5" customHeight="1" x14ac:dyDescent="0.25">
      <c r="A52" s="48"/>
      <c r="B52" s="49" t="s">
        <v>65</v>
      </c>
      <c r="C52" s="65">
        <f>384</f>
        <v>384</v>
      </c>
      <c r="D52" s="66">
        <f t="shared" si="0"/>
        <v>384</v>
      </c>
      <c r="E52" s="54" t="s">
        <v>32</v>
      </c>
      <c r="F52" s="48"/>
    </row>
    <row r="53" spans="1:6" ht="19.5" customHeight="1" x14ac:dyDescent="0.25">
      <c r="A53" s="48"/>
      <c r="B53" s="49" t="s">
        <v>66</v>
      </c>
      <c r="C53" s="60">
        <f>C46*(C52/C51)</f>
        <v>0</v>
      </c>
      <c r="D53" s="61">
        <f t="shared" si="0"/>
        <v>0</v>
      </c>
      <c r="E53" s="54" t="s">
        <v>32</v>
      </c>
      <c r="F53" s="48"/>
    </row>
    <row r="54" spans="1:6" ht="19.5" customHeight="1" x14ac:dyDescent="0.25">
      <c r="A54" s="48"/>
      <c r="B54" s="49" t="s">
        <v>67</v>
      </c>
      <c r="C54" s="60">
        <f>MAX(0,C45-C53-C47)</f>
        <v>0</v>
      </c>
      <c r="D54" s="61">
        <f t="shared" si="0"/>
        <v>0</v>
      </c>
      <c r="E54" s="54" t="s">
        <v>32</v>
      </c>
      <c r="F54" s="48"/>
    </row>
    <row r="55" spans="1:6" ht="19.5" customHeight="1" x14ac:dyDescent="0.25">
      <c r="A55" s="48"/>
      <c r="B55" s="49" t="s">
        <v>68</v>
      </c>
      <c r="C55" s="60">
        <f>MAX(0,C54-C13-C14)</f>
        <v>0</v>
      </c>
      <c r="D55" s="61">
        <f t="shared" si="0"/>
        <v>0</v>
      </c>
      <c r="E55" s="54" t="s">
        <v>32</v>
      </c>
      <c r="F55" s="48"/>
    </row>
    <row r="56" spans="1:6" ht="19.5" customHeight="1" x14ac:dyDescent="0.25">
      <c r="A56" s="43"/>
      <c r="B56" s="44" t="s">
        <v>69</v>
      </c>
      <c r="C56" s="67">
        <f>IF(C43="Yes",C55*0.2,"N/A — not eligible")</f>
        <v>0</v>
      </c>
      <c r="D56" s="68">
        <f t="shared" si="0"/>
        <v>0</v>
      </c>
      <c r="E56" s="47" t="s">
        <v>32</v>
      </c>
      <c r="F56" s="43"/>
    </row>
    <row r="57" spans="1:6" ht="21.75" customHeight="1" x14ac:dyDescent="0.25">
      <c r="A57" s="69"/>
      <c r="B57" s="70" t="s">
        <v>70</v>
      </c>
      <c r="C57" s="71">
        <f>IF(C43="Yes",MIN(C50,C56),C50)</f>
        <v>0</v>
      </c>
      <c r="D57" s="72">
        <f t="shared" si="0"/>
        <v>0</v>
      </c>
      <c r="E57" s="69" t="s">
        <v>32</v>
      </c>
      <c r="F57" s="69"/>
    </row>
    <row r="58" spans="1:6" ht="27.75" customHeight="1" x14ac:dyDescent="0.25">
      <c r="A58" s="73"/>
      <c r="B58" s="74" t="s">
        <v>71</v>
      </c>
      <c r="C58" s="75">
        <f>IF(C43="Yes",IF(C50&lt;=C56,C49,C55),C49)</f>
        <v>0</v>
      </c>
      <c r="D58" s="53">
        <f t="shared" si="0"/>
        <v>0</v>
      </c>
      <c r="E58" s="76" t="s">
        <v>32</v>
      </c>
      <c r="F58" s="73"/>
    </row>
    <row r="60" spans="1:6" ht="21.75" customHeight="1" x14ac:dyDescent="0.25">
      <c r="A60" s="42" t="s">
        <v>72</v>
      </c>
      <c r="B60" s="42"/>
      <c r="C60" s="42"/>
      <c r="D60" s="42"/>
      <c r="E60" s="42"/>
      <c r="F60" s="42"/>
    </row>
    <row r="61" spans="1:6" ht="19.5" customHeight="1" x14ac:dyDescent="0.25">
      <c r="A61" s="52" t="s">
        <v>73</v>
      </c>
      <c r="B61" s="52"/>
      <c r="C61" s="52"/>
      <c r="D61" s="52"/>
      <c r="E61" s="52"/>
      <c r="F61" s="52"/>
    </row>
    <row r="62" spans="1:6" ht="19.5" customHeight="1" x14ac:dyDescent="0.25">
      <c r="B62" s="52" t="s">
        <v>52</v>
      </c>
      <c r="C62" s="52"/>
      <c r="D62" s="52"/>
      <c r="E62" s="52"/>
      <c r="F62" s="52"/>
    </row>
    <row r="63" spans="1:6" ht="19.5" customHeight="1" x14ac:dyDescent="0.25">
      <c r="A63" s="43"/>
      <c r="B63" s="44" t="s">
        <v>42</v>
      </c>
      <c r="C63" s="50">
        <v>0</v>
      </c>
      <c r="D63" s="53">
        <f>C63</f>
        <v>0</v>
      </c>
      <c r="E63" s="47" t="s">
        <v>32</v>
      </c>
      <c r="F63" s="43"/>
    </row>
    <row r="64" spans="1:6" ht="19.5" customHeight="1" x14ac:dyDescent="0.25">
      <c r="A64" s="48"/>
      <c r="B64" s="49" t="s">
        <v>43</v>
      </c>
      <c r="C64" s="50">
        <v>0</v>
      </c>
      <c r="D64" s="53">
        <f>C64</f>
        <v>0</v>
      </c>
      <c r="E64" s="54" t="s">
        <v>32</v>
      </c>
      <c r="F64" s="48"/>
    </row>
    <row r="65" spans="1:6" ht="19.5" customHeight="1" x14ac:dyDescent="0.25">
      <c r="A65" s="55"/>
      <c r="B65" s="56" t="s">
        <v>74</v>
      </c>
      <c r="C65" s="57">
        <f>MAX(0,C63-C64)</f>
        <v>0</v>
      </c>
      <c r="D65" s="58">
        <f>C65</f>
        <v>0</v>
      </c>
      <c r="E65" s="59" t="s">
        <v>32</v>
      </c>
      <c r="F65" s="55"/>
    </row>
    <row r="67" spans="1:6" ht="19.5" customHeight="1" x14ac:dyDescent="0.25">
      <c r="B67" s="52" t="s">
        <v>75</v>
      </c>
      <c r="C67" s="52"/>
      <c r="D67" s="52"/>
      <c r="E67" s="52"/>
      <c r="F67" s="52"/>
    </row>
    <row r="68" spans="1:6" ht="19.5" customHeight="1" x14ac:dyDescent="0.25">
      <c r="A68" s="43"/>
      <c r="B68" s="44" t="s">
        <v>42</v>
      </c>
      <c r="C68" s="50">
        <v>0</v>
      </c>
      <c r="D68" s="53">
        <f>C68</f>
        <v>0</v>
      </c>
      <c r="E68" s="47" t="s">
        <v>32</v>
      </c>
      <c r="F68" s="43"/>
    </row>
    <row r="69" spans="1:6" ht="19.5" customHeight="1" x14ac:dyDescent="0.25">
      <c r="A69" s="48"/>
      <c r="B69" s="49" t="s">
        <v>43</v>
      </c>
      <c r="C69" s="50">
        <v>0</v>
      </c>
      <c r="D69" s="53">
        <f>C69</f>
        <v>0</v>
      </c>
      <c r="E69" s="54" t="s">
        <v>32</v>
      </c>
      <c r="F69" s="48"/>
    </row>
    <row r="70" spans="1:6" ht="19.5" customHeight="1" x14ac:dyDescent="0.25">
      <c r="A70" s="48"/>
      <c r="B70" s="49" t="s">
        <v>76</v>
      </c>
      <c r="C70" s="60">
        <f>MAX(0,C68-C69)</f>
        <v>0</v>
      </c>
      <c r="D70" s="61">
        <f>C70</f>
        <v>0</v>
      </c>
      <c r="E70" s="54" t="s">
        <v>32</v>
      </c>
      <c r="F70" s="48"/>
    </row>
    <row r="71" spans="1:6" ht="19.5" customHeight="1" x14ac:dyDescent="0.25">
      <c r="A71" s="48"/>
      <c r="B71" s="49" t="s">
        <v>77</v>
      </c>
      <c r="C71" s="60">
        <f>MAX(0,C70-C15)</f>
        <v>0</v>
      </c>
      <c r="D71" s="61">
        <f>C71</f>
        <v>0</v>
      </c>
      <c r="E71" s="54" t="s">
        <v>32</v>
      </c>
      <c r="F71" s="48"/>
    </row>
    <row r="72" spans="1:6" ht="19.5" customHeight="1" x14ac:dyDescent="0.25">
      <c r="A72" s="43"/>
      <c r="B72" s="62" t="s">
        <v>78</v>
      </c>
      <c r="C72" s="63">
        <f>C71*0.125</f>
        <v>0</v>
      </c>
      <c r="D72" s="64">
        <f>C72</f>
        <v>0</v>
      </c>
      <c r="E72" s="47" t="s">
        <v>32</v>
      </c>
      <c r="F72" s="43"/>
    </row>
    <row r="74" spans="1:6" ht="21.75" customHeight="1" x14ac:dyDescent="0.25">
      <c r="A74" s="42" t="s">
        <v>79</v>
      </c>
      <c r="B74" s="42"/>
      <c r="C74" s="42"/>
      <c r="D74" s="42"/>
      <c r="E74" s="42"/>
      <c r="F74" s="42"/>
    </row>
    <row r="75" spans="1:6" ht="19.5" customHeight="1" x14ac:dyDescent="0.25">
      <c r="A75" s="48"/>
      <c r="B75" s="49" t="s">
        <v>80</v>
      </c>
      <c r="C75" s="60">
        <f>MAX(0,C27-125000)</f>
        <v>0</v>
      </c>
      <c r="D75" s="61">
        <f>C75</f>
        <v>0</v>
      </c>
      <c r="E75" s="54" t="s">
        <v>32</v>
      </c>
      <c r="F75" s="48"/>
    </row>
    <row r="76" spans="1:6" ht="19.5" customHeight="1" x14ac:dyDescent="0.25">
      <c r="A76" s="43"/>
      <c r="B76" s="62" t="s">
        <v>81</v>
      </c>
      <c r="C76" s="63">
        <f>C75*0.125</f>
        <v>0</v>
      </c>
      <c r="D76" s="64">
        <f>C76</f>
        <v>0</v>
      </c>
      <c r="E76" s="47" t="s">
        <v>32</v>
      </c>
      <c r="F76" s="43"/>
    </row>
    <row r="77" spans="1:6" ht="19.5" customHeight="1" x14ac:dyDescent="0.25">
      <c r="A77" s="43"/>
      <c r="B77" s="62" t="s">
        <v>82</v>
      </c>
      <c r="C77" s="63">
        <f>C22*0.2</f>
        <v>0</v>
      </c>
      <c r="D77" s="64">
        <f>C77</f>
        <v>0</v>
      </c>
      <c r="E77" s="47" t="s">
        <v>32</v>
      </c>
      <c r="F77" s="43"/>
    </row>
    <row r="78" spans="1:6" ht="34.5" customHeight="1" x14ac:dyDescent="0.25">
      <c r="A78" s="55"/>
      <c r="B78" s="56" t="s">
        <v>83</v>
      </c>
      <c r="C78" s="57">
        <f>C77+C76+C57+C72</f>
        <v>0</v>
      </c>
      <c r="D78" s="58">
        <f>C78</f>
        <v>0</v>
      </c>
      <c r="E78" s="55" t="s">
        <v>32</v>
      </c>
      <c r="F78" s="55"/>
    </row>
    <row r="80" spans="1:6" ht="21.75" customHeight="1" x14ac:dyDescent="0.25">
      <c r="A80" s="42" t="s">
        <v>84</v>
      </c>
      <c r="B80" s="42"/>
      <c r="C80" s="42"/>
      <c r="D80" s="42"/>
      <c r="E80" s="42"/>
      <c r="F80" s="42"/>
    </row>
    <row r="81" spans="1:6" ht="19.5" customHeight="1" x14ac:dyDescent="0.25">
      <c r="A81" s="52" t="s">
        <v>85</v>
      </c>
      <c r="B81" s="52"/>
      <c r="C81" s="52"/>
      <c r="D81" s="52"/>
      <c r="E81" s="52"/>
      <c r="F81" s="52"/>
    </row>
    <row r="82" spans="1:6" ht="19.5" customHeight="1" x14ac:dyDescent="0.25">
      <c r="A82" s="55"/>
      <c r="B82" s="56" t="s">
        <v>86</v>
      </c>
      <c r="C82" s="57">
        <f>C33+C40+C65</f>
        <v>0</v>
      </c>
      <c r="D82" s="58">
        <f>C82</f>
        <v>0</v>
      </c>
      <c r="E82" s="59" t="s">
        <v>32</v>
      </c>
      <c r="F82" s="55"/>
    </row>
    <row r="83" spans="1:6" ht="19.5" customHeight="1" x14ac:dyDescent="0.25">
      <c r="A83" s="55"/>
      <c r="B83" s="56" t="s">
        <v>87</v>
      </c>
      <c r="C83" s="57">
        <f>C9+C82</f>
        <v>1000000</v>
      </c>
      <c r="D83" s="57">
        <f>D9+D82</f>
        <v>1000000</v>
      </c>
      <c r="E83" s="57">
        <f>C83-D83</f>
        <v>0</v>
      </c>
      <c r="F83" s="55"/>
    </row>
    <row r="85" spans="1:6" ht="21.75" customHeight="1" x14ac:dyDescent="0.25">
      <c r="A85" s="42" t="s">
        <v>88</v>
      </c>
      <c r="B85" s="42"/>
      <c r="C85" s="42"/>
      <c r="D85" s="42"/>
      <c r="E85" s="42"/>
      <c r="F85" s="42"/>
    </row>
    <row r="86" spans="1:6" ht="19.5" customHeight="1" x14ac:dyDescent="0.25">
      <c r="A86" s="43"/>
      <c r="B86" s="62" t="s">
        <v>89</v>
      </c>
      <c r="C86" s="63">
        <f>IF(C83&lt;=400000,0,IF(C83&lt;=800000,(C83-400000)*0.05,IF(C83&lt;=1200000,20000+(C83-800000)*0.1,IF(C83&lt;=1600000,60000+(C83-1200000)*0.15,IF(C83&lt;=2000000,120000+(C83-1600000)*0.2,IF(C83&lt;=2400000,200000+(C83-2000000)*0.25,300000+(C83-2400000)*0.3))))))</f>
        <v>40000</v>
      </c>
      <c r="D86" s="63">
        <f>IF(C8="80+",IF(D83&lt;=500000,0,IF(D83&lt;=1000000,(D83-500000)*0.2,100000+(D83-1000000)*0.3)),IF(C8="60-79 yrs",IF(D83&lt;=300000,0,IF(D83&lt;=500000,(D83-300000)*0.05,IF(D83&lt;=1000000,10000+(D83-500000)*0.2,110000+(D83-1000000)*0.3))),IF(D83&lt;=250000,0,IF(D83&lt;=500000,(D83-250000)*0.05,IF(D83&lt;=1000000,12500+(D83-500000)*0.2,112500+(D83-1000000)*0.3)))))</f>
        <v>112500</v>
      </c>
      <c r="E86" s="63">
        <f>C86-D86</f>
        <v>-72500</v>
      </c>
      <c r="F86" s="43"/>
    </row>
    <row r="87" spans="1:6" ht="32.25" customHeight="1" x14ac:dyDescent="0.25">
      <c r="A87" s="48"/>
      <c r="B87" s="49" t="s">
        <v>90</v>
      </c>
      <c r="C87" s="60">
        <f>IF(C83&lt;=1200000,MIN(C86,60000),0)</f>
        <v>40000</v>
      </c>
      <c r="D87" s="60">
        <f>IF(D83&lt;=500000,MIN(D86,12500),0)</f>
        <v>0</v>
      </c>
      <c r="E87" s="60">
        <f>C87-D87</f>
        <v>40000</v>
      </c>
      <c r="F87" s="48"/>
    </row>
    <row r="88" spans="1:6" ht="30.75" customHeight="1" x14ac:dyDescent="0.25">
      <c r="A88" s="77"/>
      <c r="B88" s="78" t="s">
        <v>91</v>
      </c>
      <c r="C88" s="79">
        <f>IF(AND(C83&gt;1200000,C83&lt;=1275000),MAX(0,(C86-C87)-(C83-1200000)),0)</f>
        <v>0</v>
      </c>
      <c r="D88" s="79">
        <f>IF(AND(D83&gt;500000,D83&lt;=510000),MAX(0,(D86-D87)-(D83-500000)),0)</f>
        <v>0</v>
      </c>
      <c r="E88" s="79">
        <f>C88-D88</f>
        <v>0</v>
      </c>
      <c r="F88" s="77"/>
    </row>
    <row r="89" spans="1:6" ht="19.5" customHeight="1" x14ac:dyDescent="0.25">
      <c r="A89" s="48"/>
      <c r="B89" s="80" t="s">
        <v>92</v>
      </c>
      <c r="C89" s="81">
        <f>MAX(0,C86-C87-C88)</f>
        <v>0</v>
      </c>
      <c r="D89" s="81">
        <f>MAX(0,D86-D87-D88)</f>
        <v>112500</v>
      </c>
      <c r="E89" s="81">
        <f>C89-D89</f>
        <v>-112500</v>
      </c>
      <c r="F89" s="48"/>
    </row>
    <row r="91" spans="1:6" ht="21.75" customHeight="1" x14ac:dyDescent="0.25">
      <c r="A91" s="42" t="s">
        <v>93</v>
      </c>
      <c r="B91" s="42"/>
      <c r="C91" s="42"/>
      <c r="D91" s="42"/>
      <c r="E91" s="42"/>
      <c r="F91" s="42"/>
    </row>
    <row r="92" spans="1:6" ht="27.75" customHeight="1" x14ac:dyDescent="0.25">
      <c r="A92" s="55"/>
      <c r="B92" s="56" t="s">
        <v>94</v>
      </c>
      <c r="C92" s="57">
        <f>C83+C75+C22+C58+C71</f>
        <v>1000000</v>
      </c>
      <c r="D92" s="57">
        <f>D83+D75+D22+D58+D71</f>
        <v>1000000</v>
      </c>
      <c r="E92" s="57">
        <f>C92-D92</f>
        <v>0</v>
      </c>
      <c r="F92" s="55"/>
    </row>
    <row r="93" spans="1:6" ht="19.5" customHeight="1" x14ac:dyDescent="0.25">
      <c r="A93" s="48"/>
      <c r="B93" s="49" t="s">
        <v>95</v>
      </c>
      <c r="C93" s="82">
        <f>IF(C92&gt;20000000,0.25,IF(C92&gt;10000000,0.15,IF(C92&gt;5000000,0.1,0)))</f>
        <v>0</v>
      </c>
      <c r="D93" s="82">
        <f>IF(D92&gt;50000000,0.37,IF(D92&gt;20000000,0.25,IF(D92&gt;10000000,0.15,IF(D92&gt;5000000,0.1,0))))</f>
        <v>0</v>
      </c>
      <c r="E93" s="82">
        <f>C93-D93</f>
        <v>0</v>
      </c>
      <c r="F93" s="48"/>
    </row>
    <row r="94" spans="1:6" ht="19.5" customHeight="1" x14ac:dyDescent="0.25">
      <c r="A94" s="43"/>
      <c r="B94" s="44" t="s">
        <v>96</v>
      </c>
      <c r="C94" s="67">
        <f>C89*C93</f>
        <v>0</v>
      </c>
      <c r="D94" s="67">
        <f>D89*D93</f>
        <v>0</v>
      </c>
      <c r="E94" s="67">
        <f>C94-D94</f>
        <v>0</v>
      </c>
      <c r="F94" s="43"/>
    </row>
    <row r="95" spans="1:6" ht="19.5" customHeight="1" x14ac:dyDescent="0.25">
      <c r="A95" s="48"/>
      <c r="B95" s="49" t="s">
        <v>97</v>
      </c>
      <c r="C95" s="82">
        <f>MIN(C93,0.15)</f>
        <v>0</v>
      </c>
      <c r="D95" s="82">
        <f>MIN(D93,0.15)</f>
        <v>0</v>
      </c>
      <c r="E95" s="82">
        <f>C95-D95</f>
        <v>0</v>
      </c>
      <c r="F95" s="48"/>
    </row>
    <row r="96" spans="1:6" ht="19.5" customHeight="1" x14ac:dyDescent="0.25">
      <c r="A96" s="43"/>
      <c r="B96" s="44" t="s">
        <v>98</v>
      </c>
      <c r="C96" s="67">
        <f>C78*C95</f>
        <v>0</v>
      </c>
      <c r="D96" s="67">
        <f>D78*D95</f>
        <v>0</v>
      </c>
      <c r="E96" s="67">
        <f>C96-D96</f>
        <v>0</v>
      </c>
      <c r="F96" s="43"/>
    </row>
    <row r="97" spans="1:6" ht="43.5" customHeight="1" x14ac:dyDescent="0.25">
      <c r="A97" s="83" t="s">
        <v>99</v>
      </c>
      <c r="B97" s="83"/>
      <c r="C97" s="83"/>
      <c r="D97" s="83"/>
      <c r="E97" s="83"/>
      <c r="F97" s="83"/>
    </row>
    <row r="99" spans="1:6" ht="21.75" customHeight="1" x14ac:dyDescent="0.25">
      <c r="A99" s="42" t="s">
        <v>100</v>
      </c>
      <c r="B99" s="42"/>
      <c r="C99" s="42"/>
      <c r="D99" s="42"/>
      <c r="E99" s="42"/>
      <c r="F99" s="42"/>
    </row>
    <row r="100" spans="1:6" ht="19.5" customHeight="1" x14ac:dyDescent="0.25">
      <c r="A100" s="48"/>
      <c r="B100" s="80" t="s">
        <v>101</v>
      </c>
      <c r="C100" s="81">
        <f>C89+C94+C78+C96</f>
        <v>0</v>
      </c>
      <c r="D100" s="81">
        <f>D89+D94+D78+D96</f>
        <v>112500</v>
      </c>
      <c r="E100" s="81">
        <f>C100-D100</f>
        <v>-112500</v>
      </c>
      <c r="F100" s="48"/>
    </row>
    <row r="101" spans="1:6" ht="19.5" customHeight="1" x14ac:dyDescent="0.25">
      <c r="A101" s="43"/>
      <c r="B101" s="44" t="s">
        <v>102</v>
      </c>
      <c r="C101" s="67">
        <f>C100*0.04</f>
        <v>0</v>
      </c>
      <c r="D101" s="67">
        <f>D100*0.04</f>
        <v>4500</v>
      </c>
      <c r="E101" s="67">
        <f>C101-D101</f>
        <v>-4500</v>
      </c>
      <c r="F101" s="43"/>
    </row>
    <row r="102" spans="1:6" ht="21.75" customHeight="1" x14ac:dyDescent="0.25">
      <c r="A102" s="41"/>
      <c r="B102" s="84" t="s">
        <v>103</v>
      </c>
      <c r="C102" s="85">
        <f>C100+C101</f>
        <v>0</v>
      </c>
      <c r="D102" s="85">
        <f>D100+D101</f>
        <v>117000</v>
      </c>
      <c r="E102" s="85">
        <f>C102-D102</f>
        <v>-117000</v>
      </c>
      <c r="F102" s="41"/>
    </row>
    <row r="104" spans="1:6" ht="21.75" customHeight="1" x14ac:dyDescent="0.25">
      <c r="A104" s="42" t="s">
        <v>104</v>
      </c>
      <c r="B104" s="42"/>
      <c r="C104" s="42"/>
      <c r="D104" s="42"/>
      <c r="E104" s="42"/>
      <c r="F104" s="42"/>
    </row>
    <row r="105" spans="1:6" ht="24" customHeight="1" x14ac:dyDescent="0.25">
      <c r="A105" s="86" t="str">
        <f>IF(C102=D102,"BOTH REGIMES ARE EQUAL — Tax payable is same under both regimes.",IF(C102&lt;D102,"✅  NEW REGIME IS BENEFICIAL  |  You Save Rs." &amp; TEXT(D102-C102,"##,##,##0") &amp; " by choosing New Regime","✅  OLD REGIME IS BENEFICIAL  |  You Save Rs." &amp; TEXT(C102-D102,"##,##,##0") &amp; " by choosing Old Regime"))</f>
        <v>✅  NEW REGIME IS BENEFICIAL  |  You Save Rs.117,000 by choosing New Regime</v>
      </c>
      <c r="B105" s="86"/>
      <c r="C105" s="86"/>
      <c r="D105" s="86"/>
      <c r="E105" s="86"/>
      <c r="F105" s="86"/>
    </row>
    <row r="106" spans="1:6" ht="27.75" customHeight="1" x14ac:dyDescent="0.25">
      <c r="A106" s="87" t="s">
        <v>105</v>
      </c>
      <c r="B106" s="87"/>
      <c r="C106" s="87"/>
      <c r="D106" s="87"/>
      <c r="E106" s="87"/>
      <c r="F106" s="87"/>
    </row>
    <row r="108" spans="1:6" ht="21.75" customHeight="1" x14ac:dyDescent="0.25">
      <c r="A108" s="42" t="s">
        <v>106</v>
      </c>
      <c r="B108" s="42"/>
      <c r="C108" s="42"/>
      <c r="D108" s="42"/>
      <c r="E108" s="42"/>
      <c r="F108" s="42"/>
    </row>
    <row r="109" spans="1:6" ht="33.75" customHeight="1" x14ac:dyDescent="0.25">
      <c r="B109" s="88" t="s">
        <v>107</v>
      </c>
      <c r="C109" s="88"/>
      <c r="D109" s="88"/>
      <c r="E109" s="88"/>
      <c r="F109" s="88"/>
    </row>
    <row r="110" spans="1:6" ht="33.75" customHeight="1" x14ac:dyDescent="0.25">
      <c r="B110" s="89" t="s">
        <v>108</v>
      </c>
      <c r="C110" s="89"/>
      <c r="D110" s="89"/>
      <c r="E110" s="89"/>
      <c r="F110" s="89"/>
    </row>
    <row r="111" spans="1:6" ht="33.75" customHeight="1" x14ac:dyDescent="0.25">
      <c r="B111" s="88" t="s">
        <v>109</v>
      </c>
      <c r="C111" s="88"/>
      <c r="D111" s="88"/>
      <c r="E111" s="88"/>
      <c r="F111" s="88"/>
    </row>
    <row r="112" spans="1:6" ht="33.75" customHeight="1" x14ac:dyDescent="0.25">
      <c r="B112" s="89" t="s">
        <v>110</v>
      </c>
      <c r="C112" s="89"/>
      <c r="D112" s="89"/>
      <c r="E112" s="89"/>
      <c r="F112" s="89"/>
    </row>
    <row r="113" spans="1:6" ht="33.75" customHeight="1" x14ac:dyDescent="0.25">
      <c r="B113" s="88" t="s">
        <v>111</v>
      </c>
      <c r="C113" s="88"/>
      <c r="D113" s="88"/>
      <c r="E113" s="88"/>
      <c r="F113" s="88"/>
    </row>
    <row r="114" spans="1:6" ht="33.75" customHeight="1" x14ac:dyDescent="0.25">
      <c r="B114" s="89" t="s">
        <v>112</v>
      </c>
      <c r="C114" s="89"/>
      <c r="D114" s="89"/>
      <c r="E114" s="89"/>
      <c r="F114" s="89"/>
    </row>
    <row r="115" spans="1:6" ht="33.75" customHeight="1" x14ac:dyDescent="0.25">
      <c r="B115" s="88" t="s">
        <v>113</v>
      </c>
      <c r="C115" s="88"/>
      <c r="D115" s="88"/>
      <c r="E115" s="88"/>
      <c r="F115" s="88"/>
    </row>
    <row r="116" spans="1:6" ht="33.75" customHeight="1" x14ac:dyDescent="0.25">
      <c r="B116" s="90" t="s">
        <v>114</v>
      </c>
      <c r="C116" s="90"/>
      <c r="D116" s="90"/>
      <c r="E116" s="90"/>
      <c r="F116" s="90"/>
    </row>
    <row r="117" spans="1:6" ht="33.75" customHeight="1" x14ac:dyDescent="0.25">
      <c r="B117" s="88" t="s">
        <v>115</v>
      </c>
      <c r="C117" s="88"/>
      <c r="D117" s="88"/>
      <c r="E117" s="88"/>
      <c r="F117" s="88"/>
    </row>
    <row r="118" spans="1:6" ht="33.75" customHeight="1" x14ac:dyDescent="0.25">
      <c r="B118" s="89" t="s">
        <v>116</v>
      </c>
      <c r="C118" s="89"/>
      <c r="D118" s="89"/>
      <c r="E118" s="89"/>
      <c r="F118" s="89"/>
    </row>
    <row r="119" spans="1:6" ht="33.75" customHeight="1" x14ac:dyDescent="0.25">
      <c r="B119" s="91" t="s">
        <v>117</v>
      </c>
      <c r="C119" s="91"/>
      <c r="D119" s="91"/>
      <c r="E119" s="91"/>
      <c r="F119" s="91"/>
    </row>
    <row r="121" spans="1:6" ht="21.75" customHeight="1" x14ac:dyDescent="0.25">
      <c r="A121" s="34" t="s">
        <v>22</v>
      </c>
      <c r="B121" s="34"/>
      <c r="C121" s="34"/>
      <c r="D121" s="34"/>
      <c r="E121" s="34"/>
      <c r="F121" s="34"/>
    </row>
  </sheetData>
  <mergeCells count="45">
    <mergeCell ref="A2:B2"/>
    <mergeCell ref="C2:F2"/>
    <mergeCell ref="A3:F3"/>
    <mergeCell ref="A4:F4"/>
    <mergeCell ref="A6:B6"/>
    <mergeCell ref="A7:F7"/>
    <mergeCell ref="A11:F11"/>
    <mergeCell ref="A12:F12"/>
    <mergeCell ref="A17:F17"/>
    <mergeCell ref="A18:F18"/>
    <mergeCell ref="B19:F19"/>
    <mergeCell ref="B24:F24"/>
    <mergeCell ref="A29:F29"/>
    <mergeCell ref="A30:F30"/>
    <mergeCell ref="A35:F35"/>
    <mergeCell ref="A36:F36"/>
    <mergeCell ref="B37:F37"/>
    <mergeCell ref="B42:F42"/>
    <mergeCell ref="A60:F60"/>
    <mergeCell ref="A61:F61"/>
    <mergeCell ref="B62:F62"/>
    <mergeCell ref="B67:F67"/>
    <mergeCell ref="A74:F74"/>
    <mergeCell ref="A80:F80"/>
    <mergeCell ref="A81:F81"/>
    <mergeCell ref="A85:F85"/>
    <mergeCell ref="A91:F91"/>
    <mergeCell ref="A97:F97"/>
    <mergeCell ref="A99:F99"/>
    <mergeCell ref="A104:F104"/>
    <mergeCell ref="A105:F105"/>
    <mergeCell ref="A106:F106"/>
    <mergeCell ref="A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A121:F121"/>
  </mergeCells>
  <dataValidations count="2">
    <dataValidation type="list" sqref="C8" xr:uid="{00000000-0002-0000-0100-000000000000}">
      <formula1>"Below 60 yrs,60-79 yrs,80+"</formula1>
      <formula2>0</formula2>
    </dataValidation>
    <dataValidation type="list" sqref="C43" xr:uid="{00000000-0002-0000-0100-000001000000}">
      <formula1>"Yes,No"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2000000}">
          <x14:formula1>
            <xm:f>'📋 CII &amp; Rate Reference'!$B$6:$B$29</xm:f>
          </x14:formula1>
          <x14:formula2>
            <xm:f>0</xm:f>
          </x14:formula2>
          <xm:sqref>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8.7109375" defaultRowHeight="15" x14ac:dyDescent="0.25"/>
  <cols>
    <col min="1" max="1" width="2" customWidth="1"/>
    <col min="2" max="2" width="23.5703125" customWidth="1"/>
    <col min="3" max="3" width="14.28515625" customWidth="1"/>
    <col min="4" max="4" width="47" customWidth="1"/>
    <col min="5" max="5" width="8.5703125" customWidth="1"/>
  </cols>
  <sheetData>
    <row r="1" spans="1:5" ht="27.75" customHeight="1" x14ac:dyDescent="0.25">
      <c r="A1" s="19" t="s">
        <v>118</v>
      </c>
      <c r="B1" s="19"/>
      <c r="C1" s="19"/>
      <c r="D1" s="19"/>
      <c r="E1" s="19"/>
    </row>
    <row r="2" spans="1:5" ht="21.75" customHeight="1" x14ac:dyDescent="0.25">
      <c r="A2" s="20" t="s">
        <v>119</v>
      </c>
      <c r="B2" s="20"/>
      <c r="C2" s="20"/>
      <c r="D2" s="20"/>
      <c r="E2" s="20"/>
    </row>
    <row r="4" spans="1:5" ht="19.5" customHeight="1" x14ac:dyDescent="0.25">
      <c r="A4" s="21" t="s">
        <v>120</v>
      </c>
      <c r="B4" s="21"/>
      <c r="C4" s="21"/>
      <c r="D4" s="21"/>
      <c r="E4" s="21"/>
    </row>
    <row r="5" spans="1:5" ht="18" customHeight="1" x14ac:dyDescent="0.25">
      <c r="B5" s="4" t="s">
        <v>121</v>
      </c>
      <c r="C5" s="4" t="s">
        <v>122</v>
      </c>
    </row>
    <row r="6" spans="1:5" ht="15.75" customHeight="1" x14ac:dyDescent="0.25">
      <c r="A6" s="1"/>
      <c r="B6" s="5" t="s">
        <v>123</v>
      </c>
      <c r="C6" s="5">
        <v>100</v>
      </c>
      <c r="D6" s="1"/>
      <c r="E6" s="1"/>
    </row>
    <row r="7" spans="1:5" ht="15.75" customHeight="1" x14ac:dyDescent="0.25">
      <c r="A7" s="2"/>
      <c r="B7" s="6" t="s">
        <v>124</v>
      </c>
      <c r="C7" s="6">
        <v>105</v>
      </c>
      <c r="D7" s="2"/>
      <c r="E7" s="2"/>
    </row>
    <row r="8" spans="1:5" ht="15.75" customHeight="1" x14ac:dyDescent="0.25">
      <c r="A8" s="1"/>
      <c r="B8" s="5" t="s">
        <v>125</v>
      </c>
      <c r="C8" s="5">
        <v>109</v>
      </c>
      <c r="D8" s="1"/>
      <c r="E8" s="1"/>
    </row>
    <row r="9" spans="1:5" ht="15.75" customHeight="1" x14ac:dyDescent="0.25">
      <c r="A9" s="2"/>
      <c r="B9" s="6" t="s">
        <v>126</v>
      </c>
      <c r="C9" s="6">
        <v>113</v>
      </c>
      <c r="D9" s="2"/>
      <c r="E9" s="2"/>
    </row>
    <row r="10" spans="1:5" ht="15.75" customHeight="1" x14ac:dyDescent="0.25">
      <c r="A10" s="1"/>
      <c r="B10" s="5" t="s">
        <v>127</v>
      </c>
      <c r="C10" s="5">
        <v>117</v>
      </c>
      <c r="D10" s="1"/>
      <c r="E10" s="1"/>
    </row>
    <row r="11" spans="1:5" ht="15.75" customHeight="1" x14ac:dyDescent="0.25">
      <c r="A11" s="2"/>
      <c r="B11" s="6" t="s">
        <v>128</v>
      </c>
      <c r="C11" s="6">
        <v>122</v>
      </c>
      <c r="D11" s="2"/>
      <c r="E11" s="2"/>
    </row>
    <row r="12" spans="1:5" ht="15.75" customHeight="1" x14ac:dyDescent="0.25">
      <c r="A12" s="1"/>
      <c r="B12" s="5" t="s">
        <v>129</v>
      </c>
      <c r="C12" s="5">
        <v>129</v>
      </c>
      <c r="D12" s="1"/>
      <c r="E12" s="1"/>
    </row>
    <row r="13" spans="1:5" ht="15.75" customHeight="1" x14ac:dyDescent="0.25">
      <c r="A13" s="2"/>
      <c r="B13" s="6" t="s">
        <v>130</v>
      </c>
      <c r="C13" s="6">
        <v>137</v>
      </c>
      <c r="D13" s="2"/>
      <c r="E13" s="2"/>
    </row>
    <row r="14" spans="1:5" ht="15.75" customHeight="1" x14ac:dyDescent="0.25">
      <c r="A14" s="1"/>
      <c r="B14" s="5" t="s">
        <v>131</v>
      </c>
      <c r="C14" s="5">
        <v>148</v>
      </c>
      <c r="D14" s="1"/>
      <c r="E14" s="1"/>
    </row>
    <row r="15" spans="1:5" ht="15.75" customHeight="1" x14ac:dyDescent="0.25">
      <c r="A15" s="2"/>
      <c r="B15" s="6" t="s">
        <v>132</v>
      </c>
      <c r="C15" s="6">
        <v>167</v>
      </c>
      <c r="D15" s="2"/>
      <c r="E15" s="2"/>
    </row>
    <row r="16" spans="1:5" ht="15.75" customHeight="1" x14ac:dyDescent="0.25">
      <c r="A16" s="1"/>
      <c r="B16" s="5" t="s">
        <v>133</v>
      </c>
      <c r="C16" s="5">
        <v>184</v>
      </c>
      <c r="D16" s="1"/>
      <c r="E16" s="1"/>
    </row>
    <row r="17" spans="1:5" ht="15.75" customHeight="1" x14ac:dyDescent="0.25">
      <c r="A17" s="2"/>
      <c r="B17" s="6" t="s">
        <v>58</v>
      </c>
      <c r="C17" s="6">
        <v>200</v>
      </c>
      <c r="D17" s="2"/>
      <c r="E17" s="2"/>
    </row>
    <row r="18" spans="1:5" ht="15.75" customHeight="1" x14ac:dyDescent="0.25">
      <c r="A18" s="1"/>
      <c r="B18" s="5" t="s">
        <v>134</v>
      </c>
      <c r="C18" s="5">
        <v>220</v>
      </c>
      <c r="D18" s="1"/>
      <c r="E18" s="1"/>
    </row>
    <row r="19" spans="1:5" ht="15.75" customHeight="1" x14ac:dyDescent="0.25">
      <c r="A19" s="2"/>
      <c r="B19" s="6" t="s">
        <v>135</v>
      </c>
      <c r="C19" s="6">
        <v>240</v>
      </c>
      <c r="D19" s="2"/>
      <c r="E19" s="2"/>
    </row>
    <row r="20" spans="1:5" ht="15.75" customHeight="1" x14ac:dyDescent="0.25">
      <c r="A20" s="1"/>
      <c r="B20" s="5" t="s">
        <v>136</v>
      </c>
      <c r="C20" s="5">
        <v>254</v>
      </c>
      <c r="D20" s="1"/>
      <c r="E20" s="1"/>
    </row>
    <row r="21" spans="1:5" ht="15.75" customHeight="1" x14ac:dyDescent="0.25">
      <c r="A21" s="2"/>
      <c r="B21" s="6" t="s">
        <v>137</v>
      </c>
      <c r="C21" s="6">
        <v>264</v>
      </c>
      <c r="D21" s="2"/>
      <c r="E21" s="2"/>
    </row>
    <row r="22" spans="1:5" ht="15.75" customHeight="1" x14ac:dyDescent="0.25">
      <c r="A22" s="1"/>
      <c r="B22" s="5" t="s">
        <v>138</v>
      </c>
      <c r="C22" s="5">
        <v>272</v>
      </c>
      <c r="D22" s="1"/>
      <c r="E22" s="1"/>
    </row>
    <row r="23" spans="1:5" ht="15.75" customHeight="1" x14ac:dyDescent="0.25">
      <c r="A23" s="2"/>
      <c r="B23" s="6" t="s">
        <v>139</v>
      </c>
      <c r="C23" s="6">
        <v>280</v>
      </c>
      <c r="D23" s="2"/>
      <c r="E23" s="2"/>
    </row>
    <row r="24" spans="1:5" ht="15.75" customHeight="1" x14ac:dyDescent="0.25">
      <c r="A24" s="1"/>
      <c r="B24" s="5" t="s">
        <v>140</v>
      </c>
      <c r="C24" s="5">
        <v>289</v>
      </c>
      <c r="D24" s="1"/>
      <c r="E24" s="1"/>
    </row>
    <row r="25" spans="1:5" ht="15.75" customHeight="1" x14ac:dyDescent="0.25">
      <c r="A25" s="2"/>
      <c r="B25" s="6" t="s">
        <v>141</v>
      </c>
      <c r="C25" s="6">
        <v>301</v>
      </c>
      <c r="D25" s="2"/>
      <c r="E25" s="2"/>
    </row>
    <row r="26" spans="1:5" ht="15.75" customHeight="1" x14ac:dyDescent="0.25">
      <c r="A26" s="1"/>
      <c r="B26" s="5" t="s">
        <v>142</v>
      </c>
      <c r="C26" s="5">
        <v>317</v>
      </c>
      <c r="D26" s="1"/>
      <c r="E26" s="1"/>
    </row>
    <row r="27" spans="1:5" ht="15.75" customHeight="1" x14ac:dyDescent="0.25">
      <c r="A27" s="2"/>
      <c r="B27" s="6" t="s">
        <v>143</v>
      </c>
      <c r="C27" s="6">
        <v>331</v>
      </c>
      <c r="D27" s="2"/>
      <c r="E27" s="2"/>
    </row>
    <row r="28" spans="1:5" ht="15.75" customHeight="1" x14ac:dyDescent="0.25">
      <c r="A28" s="1"/>
      <c r="B28" s="5" t="s">
        <v>144</v>
      </c>
      <c r="C28" s="5">
        <v>348</v>
      </c>
      <c r="D28" s="1"/>
      <c r="E28" s="1"/>
    </row>
    <row r="29" spans="1:5" ht="15.75" customHeight="1" x14ac:dyDescent="0.25">
      <c r="A29" s="2"/>
      <c r="B29" s="6" t="s">
        <v>145</v>
      </c>
      <c r="C29" s="6">
        <v>363</v>
      </c>
      <c r="D29" s="2"/>
      <c r="E29" s="2"/>
    </row>
    <row r="30" spans="1:5" ht="33" customHeight="1" x14ac:dyDescent="0.25">
      <c r="A30" s="7"/>
      <c r="B30" s="8" t="s">
        <v>146</v>
      </c>
      <c r="C30" s="8">
        <v>376</v>
      </c>
      <c r="D30" s="9" t="s">
        <v>147</v>
      </c>
      <c r="E30" s="7"/>
    </row>
    <row r="31" spans="1:5" ht="30.75" customHeight="1" x14ac:dyDescent="0.25">
      <c r="A31" s="7"/>
      <c r="B31" s="8" t="s">
        <v>148</v>
      </c>
      <c r="C31" s="8">
        <v>384</v>
      </c>
      <c r="D31" s="9" t="s">
        <v>147</v>
      </c>
      <c r="E31" s="7"/>
    </row>
    <row r="33" spans="1:5" ht="19.5" customHeight="1" x14ac:dyDescent="0.25">
      <c r="A33" s="21" t="s">
        <v>149</v>
      </c>
      <c r="B33" s="21"/>
      <c r="C33" s="21"/>
      <c r="D33" s="21"/>
      <c r="E33" s="21"/>
    </row>
    <row r="34" spans="1:5" ht="18" customHeight="1" x14ac:dyDescent="0.25">
      <c r="A34" s="3"/>
      <c r="B34" s="4" t="s">
        <v>150</v>
      </c>
      <c r="C34" s="4" t="s">
        <v>151</v>
      </c>
      <c r="D34" s="4" t="s">
        <v>152</v>
      </c>
      <c r="E34" s="3"/>
    </row>
    <row r="35" spans="1:5" ht="27.75" customHeight="1" x14ac:dyDescent="0.25">
      <c r="A35" s="1"/>
      <c r="B35" s="10" t="s">
        <v>153</v>
      </c>
      <c r="C35" s="11" t="s">
        <v>154</v>
      </c>
      <c r="D35" s="12" t="s">
        <v>155</v>
      </c>
      <c r="E35" s="1"/>
    </row>
    <row r="36" spans="1:5" ht="27.75" customHeight="1" x14ac:dyDescent="0.25">
      <c r="A36" s="2"/>
      <c r="B36" s="13" t="s">
        <v>156</v>
      </c>
      <c r="C36" s="14" t="s">
        <v>157</v>
      </c>
      <c r="D36" s="15" t="s">
        <v>158</v>
      </c>
      <c r="E36" s="2"/>
    </row>
    <row r="37" spans="1:5" ht="27.75" customHeight="1" x14ac:dyDescent="0.25">
      <c r="A37" s="1"/>
      <c r="B37" s="10" t="s">
        <v>159</v>
      </c>
      <c r="C37" s="11" t="s">
        <v>160</v>
      </c>
      <c r="D37" s="12" t="s">
        <v>161</v>
      </c>
      <c r="E37" s="1"/>
    </row>
    <row r="38" spans="1:5" ht="27.75" customHeight="1" x14ac:dyDescent="0.25">
      <c r="A38" s="2"/>
      <c r="B38" s="13" t="s">
        <v>162</v>
      </c>
      <c r="C38" s="14" t="s">
        <v>160</v>
      </c>
      <c r="D38" s="15" t="s">
        <v>163</v>
      </c>
      <c r="E38" s="2"/>
    </row>
    <row r="39" spans="1:5" ht="27.75" customHeight="1" x14ac:dyDescent="0.25">
      <c r="A39" s="1"/>
      <c r="B39" s="10" t="s">
        <v>164</v>
      </c>
      <c r="C39" s="11" t="s">
        <v>165</v>
      </c>
      <c r="D39" s="12" t="s">
        <v>166</v>
      </c>
      <c r="E39" s="1"/>
    </row>
    <row r="40" spans="1:5" ht="27.75" customHeight="1" x14ac:dyDescent="0.25">
      <c r="A40" s="2"/>
      <c r="B40" s="13" t="s">
        <v>167</v>
      </c>
      <c r="C40" s="14" t="s">
        <v>157</v>
      </c>
      <c r="D40" s="15" t="s">
        <v>168</v>
      </c>
      <c r="E40" s="2"/>
    </row>
    <row r="41" spans="1:5" ht="27.75" customHeight="1" x14ac:dyDescent="0.25">
      <c r="A41" s="1"/>
      <c r="B41" s="10" t="s">
        <v>169</v>
      </c>
      <c r="C41" s="11" t="s">
        <v>160</v>
      </c>
      <c r="D41" s="12" t="s">
        <v>163</v>
      </c>
      <c r="E41" s="1"/>
    </row>
    <row r="42" spans="1:5" ht="27.75" customHeight="1" x14ac:dyDescent="0.25">
      <c r="A42" s="2"/>
      <c r="B42" s="13" t="s">
        <v>170</v>
      </c>
      <c r="C42" s="14" t="s">
        <v>157</v>
      </c>
      <c r="D42" s="15" t="s">
        <v>168</v>
      </c>
      <c r="E42" s="2"/>
    </row>
    <row r="44" spans="1:5" ht="15" customHeight="1" x14ac:dyDescent="0.25">
      <c r="A44" s="22" t="s">
        <v>171</v>
      </c>
      <c r="B44" s="22"/>
      <c r="C44" s="22"/>
      <c r="D44" s="22"/>
      <c r="E44" s="22"/>
    </row>
    <row r="45" spans="1:5" x14ac:dyDescent="0.25">
      <c r="A45" s="22"/>
      <c r="B45" s="22"/>
      <c r="C45" s="22"/>
      <c r="D45" s="22"/>
      <c r="E45" s="22"/>
    </row>
    <row r="46" spans="1:5" x14ac:dyDescent="0.25">
      <c r="A46" s="22"/>
      <c r="B46" s="22"/>
      <c r="C46" s="22"/>
      <c r="D46" s="22"/>
      <c r="E46" s="22"/>
    </row>
    <row r="47" spans="1:5" x14ac:dyDescent="0.25">
      <c r="A47" s="22"/>
      <c r="B47" s="22"/>
      <c r="C47" s="22"/>
      <c r="D47" s="22"/>
      <c r="E47" s="22"/>
    </row>
    <row r="50" spans="1:5" ht="21.75" customHeight="1" x14ac:dyDescent="0.25">
      <c r="A50" s="18" t="s">
        <v>22</v>
      </c>
      <c r="B50" s="18"/>
      <c r="C50" s="18"/>
      <c r="D50" s="18"/>
      <c r="E50" s="18"/>
    </row>
  </sheetData>
  <sheetProtection algorithmName="SHA-512" hashValue="dAzrR0Ujb1k01qme4UQUCs3MvIvkRw5D+37oNbhjj6Xj3wFFOGMW1m3oJEk6M8EVA/WsJZg1daOUAIXpCEzS3g==" saltValue="+brQrho78SXjUk8xt4b1Mg==" spinCount="100000" sheet="1" objects="1" scenarios="1"/>
  <mergeCells count="6">
    <mergeCell ref="A50:E50"/>
    <mergeCell ref="A1:E1"/>
    <mergeCell ref="A2:E2"/>
    <mergeCell ref="A4:E4"/>
    <mergeCell ref="A33:E33"/>
    <mergeCell ref="A44:E4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showGridLines="0" zoomScaleNormal="100" workbookViewId="0"/>
  </sheetViews>
  <sheetFormatPr defaultColWidth="8.7109375" defaultRowHeight="15" x14ac:dyDescent="0.25"/>
  <cols>
    <col min="1" max="1" width="4" customWidth="1"/>
    <col min="2" max="2" width="100" customWidth="1"/>
    <col min="3" max="3" width="4" customWidth="1"/>
  </cols>
  <sheetData>
    <row r="1" spans="1:3" ht="30" customHeight="1" x14ac:dyDescent="0.25">
      <c r="A1" s="23" t="s">
        <v>172</v>
      </c>
      <c r="B1" s="23"/>
      <c r="C1" s="23"/>
    </row>
    <row r="2" spans="1:3" ht="7.5" customHeight="1" x14ac:dyDescent="0.25"/>
    <row r="3" spans="1:3" ht="39.75" customHeight="1" x14ac:dyDescent="0.25">
      <c r="B3" s="16" t="s">
        <v>173</v>
      </c>
    </row>
    <row r="5" spans="1:3" ht="39.75" customHeight="1" x14ac:dyDescent="0.25">
      <c r="B5" s="17" t="s">
        <v>174</v>
      </c>
    </row>
    <row r="7" spans="1:3" ht="39.75" customHeight="1" x14ac:dyDescent="0.25">
      <c r="B7" s="16" t="s">
        <v>175</v>
      </c>
    </row>
    <row r="9" spans="1:3" ht="39.75" customHeight="1" x14ac:dyDescent="0.25">
      <c r="B9" s="17" t="s">
        <v>176</v>
      </c>
    </row>
    <row r="11" spans="1:3" ht="39.75" customHeight="1" x14ac:dyDescent="0.25">
      <c r="B11" s="16" t="s">
        <v>177</v>
      </c>
    </row>
    <row r="13" spans="1:3" ht="39.75" customHeight="1" x14ac:dyDescent="0.25">
      <c r="B13" s="17" t="s">
        <v>178</v>
      </c>
    </row>
    <row r="15" spans="1:3" ht="39.75" customHeight="1" x14ac:dyDescent="0.25">
      <c r="B15" s="16" t="s">
        <v>179</v>
      </c>
    </row>
    <row r="17" spans="1:3" ht="39.75" customHeight="1" x14ac:dyDescent="0.25">
      <c r="B17" s="17" t="s">
        <v>180</v>
      </c>
    </row>
    <row r="19" spans="1:3" ht="39.75" customHeight="1" x14ac:dyDescent="0.25">
      <c r="B19" s="16" t="s">
        <v>181</v>
      </c>
    </row>
    <row r="21" spans="1:3" ht="39.75" customHeight="1" x14ac:dyDescent="0.25">
      <c r="B21" s="17" t="s">
        <v>182</v>
      </c>
    </row>
    <row r="23" spans="1:3" ht="39.75" customHeight="1" x14ac:dyDescent="0.25">
      <c r="B23" s="16" t="s">
        <v>183</v>
      </c>
    </row>
    <row r="25" spans="1:3" ht="39.75" customHeight="1" x14ac:dyDescent="0.25">
      <c r="B25" s="17" t="s">
        <v>184</v>
      </c>
    </row>
    <row r="28" spans="1:3" ht="21.75" customHeight="1" x14ac:dyDescent="0.25">
      <c r="A28" s="24" t="s">
        <v>185</v>
      </c>
      <c r="B28" s="24"/>
      <c r="C28" s="24"/>
    </row>
  </sheetData>
  <mergeCells count="2">
    <mergeCell ref="A1:C1"/>
    <mergeCell ref="A28:C2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📄 Cover Page</vt:lpstr>
      <vt:lpstr>📈 Capital Gains Calculator</vt:lpstr>
      <vt:lpstr>📋 CII &amp; Rate Reference</vt:lpstr>
      <vt:lpstr>📘 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madhu roy</cp:lastModifiedBy>
  <cp:revision>0</cp:revision>
  <dcterms:created xsi:type="dcterms:W3CDTF">2026-09-06T11:44:30Z</dcterms:created>
  <dcterms:modified xsi:type="dcterms:W3CDTF">2026-09-06T13:28:29Z</dcterms:modified>
  <dc:language>en-US</dc:language>
</cp:coreProperties>
</file>