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CER Data website\MAYA\taxbizmantra site\EXCEL Tax Template\In hand salary calculator\"/>
    </mc:Choice>
  </mc:AlternateContent>
  <xr:revisionPtr revIDLastSave="0" documentId="13_ncr:1_{287FBB6B-A73E-42D6-B803-D112DA4D116A}" xr6:coauthVersionLast="47" xr6:coauthVersionMax="47" xr10:uidLastSave="{00000000-0000-0000-0000-000000000000}"/>
  <bookViews>
    <workbookView xWindow="-120" yWindow="-120" windowWidth="25440" windowHeight="15270" tabRatio="500" activeTab="3" xr2:uid="{00000000-000D-0000-FFFF-FFFF00000000}"/>
  </bookViews>
  <sheets>
    <sheet name="📄 Cover Page" sheetId="1" r:id="rId1"/>
    <sheet name="🗺️ State PT Reference" sheetId="2" r:id="rId2"/>
    <sheet name="💵 Take-Home Calculator" sheetId="3" r:id="rId3"/>
    <sheet name="📘 How to Use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2" i="3" l="1"/>
  <c r="C61" i="3"/>
  <c r="C57" i="3"/>
  <c r="C56" i="3"/>
  <c r="C54" i="3"/>
  <c r="C53" i="3"/>
  <c r="C52" i="3"/>
  <c r="C55" i="3" s="1"/>
  <c r="C42" i="3"/>
  <c r="C40" i="3"/>
  <c r="C39" i="3"/>
  <c r="C38" i="3"/>
  <c r="C41" i="3" s="1"/>
  <c r="C37" i="3"/>
  <c r="C34" i="3"/>
  <c r="C31" i="3"/>
  <c r="C25" i="3"/>
  <c r="C19" i="3"/>
  <c r="C80" i="3" l="1"/>
  <c r="C43" i="3"/>
  <c r="C33" i="3"/>
  <c r="C32" i="3"/>
  <c r="C79" i="3" s="1"/>
  <c r="C78" i="3"/>
  <c r="C20" i="3"/>
  <c r="C63" i="3" l="1"/>
  <c r="C65" i="3" l="1"/>
  <c r="C68" i="3"/>
  <c r="C69" i="3"/>
  <c r="C64" i="3"/>
  <c r="C66" i="3"/>
  <c r="C70" i="3" l="1"/>
  <c r="C67" i="3"/>
  <c r="C71" i="3" s="1"/>
  <c r="C72" i="3" l="1"/>
  <c r="D74" i="3" s="1"/>
  <c r="C84" i="3" l="1"/>
  <c r="C77" i="3"/>
  <c r="C81" i="3" s="1"/>
  <c r="D83" i="3" s="1"/>
</calcChain>
</file>

<file path=xl/sharedStrings.xml><?xml version="1.0" encoding="utf-8"?>
<sst xmlns="http://schemas.openxmlformats.org/spreadsheetml/2006/main" count="248" uniqueCount="182">
  <si>
    <t>TAXBIZMANTRA.COM</t>
  </si>
  <si>
    <t>Free Excel Utility Series — Personal Finance</t>
  </si>
  <si>
    <t>In-Hand / Take-Home Salary Calculator</t>
  </si>
  <si>
    <t>Income Tax + EPF (EPF Act, 1952) + State Professional Tax</t>
  </si>
  <si>
    <t>Tax Year 2026-27 (FY 2026-27)  |  New EPFO Wage Ceiling  |  19 States' Professional Tax  |  Free Download</t>
  </si>
  <si>
    <t xml:space="preserve">  ✅  WHAT THIS CALCULATOR DOES</t>
  </si>
  <si>
    <t xml:space="preserve">  •  Builds your Gross Salary from Basic, DA, HRA and other allowances, then walks all the way down to your actual monthly take-home.</t>
  </si>
  <si>
    <t xml:space="preserve">  •  EPF contribution using the NEW ₹25,000 wage ceiling (Cabinet decision effective 17 September 2026) — editable, since detailed EPFO implementation rules for existing employees are still pending at the time of writing.</t>
  </si>
  <si>
    <t xml:space="preserve">  •  State-wise Professional Tax for 19 states/UTs — full monthly slabs for Maharashtra (including its gender-based exemption) and Karnataka; confirmed annual caps for the rest; Punjab's separate Development Tax correctly NOT labelled as Professional Tax; Odisha correctly shown as having repealed PT from 1 April 2026.</t>
  </si>
  <si>
    <t xml:space="preserve">  •  Full income tax computation reusing this series' validated slab, rebate, marginal relief and surcharge engine for both regimes, including HRA exemption under the Old Regime.</t>
  </si>
  <si>
    <t xml:space="preserve">  •  Leave Travel Allowance (Schedule III, formerly Section 10(5)) and Employer NPS Contribution (Section 124, formerly 80CCD(2)) — the latter being the one real deduction still available under the New Regime, correctly added to taxable salary and then deducted up to its 14%/10% cap.</t>
  </si>
  <si>
    <t xml:space="preserve">  •  A clear Monthly and Annual take-home summary — Gross minus EPF, Professional Tax and Income Tax.</t>
  </si>
  <si>
    <t xml:space="preserve">  •  Zero formula errors — recalculates instantly when you change an input.</t>
  </si>
  <si>
    <t xml:space="preserve">  📁  INSIDE THIS WORKBOOK</t>
  </si>
  <si>
    <t xml:space="preserve">  ►</t>
  </si>
  <si>
    <t>💵 Take-Home Salary Calculator</t>
  </si>
  <si>
    <t>Enter your salary structure and state to see your monthly take-home.</t>
  </si>
  <si>
    <t>🗺️ State PT Reference</t>
  </si>
  <si>
    <t>Professional Tax rules and rates for every levying state/UT.</t>
  </si>
  <si>
    <t>📘 How to Use</t>
  </si>
  <si>
    <t>A step-by-step walkthrough of the calculator.</t>
  </si>
  <si>
    <t xml:space="preserve">  ⚠️  MAJOR RECENT CHANGE: The EPFO wage ceiling rose from ₹15,000 to ₹25,000 on 17 September 2026 — a Cabinet decision confirmed via PIB release, but the Gazette notification and EPFO's detailed implementation circular (covering existing employees, part-month transitions, etc.) were not yet public at the time this calculator was built. Verify current EPFO guidance before relying on this for payroll. This is a multi-statute tool (Income Tax Act 2025 + EPF Act 1952 + state Professional Tax Acts) — for estimation only, not a substitute for professional payroll advice.</t>
  </si>
  <si>
    <t>© 2025-26 taxbizmantra.com  |  Free Tax Excel Utility Series  |  In-Hand / Take-Home Salary Calculator</t>
  </si>
  <si>
    <t xml:space="preserve">  State Professional Tax Reference  |  Article 276 caps this tax at ₹2,500/year across all states</t>
  </si>
  <si>
    <t xml:space="preserve">  ⚡  This is the lookup table the calculator sheet uses — edit rates here if your state updates them</t>
  </si>
  <si>
    <t>State / UT</t>
  </si>
  <si>
    <t>Category</t>
  </si>
  <si>
    <t>Nil up to (₹/month)</t>
  </si>
  <si>
    <t>PT per Month above (₹)</t>
  </si>
  <si>
    <t>PT in Feb (₹)</t>
  </si>
  <si>
    <t>Annual PT (₹)</t>
  </si>
  <si>
    <t>Basis</t>
  </si>
  <si>
    <t>Notes</t>
  </si>
  <si>
    <t>Maharashtra</t>
  </si>
  <si>
    <t>Male</t>
  </si>
  <si>
    <t>Monthly</t>
  </si>
  <si>
    <t>Female</t>
  </si>
  <si>
    <t>Karnataka</t>
  </si>
  <si>
    <t>General</t>
  </si>
  <si>
    <t>West Bengal</t>
  </si>
  <si>
    <t>Andhra Pradesh</t>
  </si>
  <si>
    <t>Telangana</t>
  </si>
  <si>
    <t>Gujarat</t>
  </si>
  <si>
    <t>Madhya Pradesh</t>
  </si>
  <si>
    <t>Kerala</t>
  </si>
  <si>
    <t>Half-Yearly</t>
  </si>
  <si>
    <t>Tamil Nadu (Chennai)</t>
  </si>
  <si>
    <t>Assam</t>
  </si>
  <si>
    <t>Bihar</t>
  </si>
  <si>
    <t>Jharkhand</t>
  </si>
  <si>
    <t>Quarterly</t>
  </si>
  <si>
    <t>Manipur</t>
  </si>
  <si>
    <t>Meghalaya</t>
  </si>
  <si>
    <t>Tripura</t>
  </si>
  <si>
    <t>Mizoram</t>
  </si>
  <si>
    <t>Nagaland</t>
  </si>
  <si>
    <t>Puducherry</t>
  </si>
  <si>
    <t>Sikkim</t>
  </si>
  <si>
    <t>Odisha</t>
  </si>
  <si>
    <t>N/A</t>
  </si>
  <si>
    <t>Chhattisgarh</t>
  </si>
  <si>
    <t>Punjab</t>
  </si>
  <si>
    <t>Delhi</t>
  </si>
  <si>
    <t>Uttar Pradesh</t>
  </si>
  <si>
    <t>Haryana</t>
  </si>
  <si>
    <t>Rajasthan</t>
  </si>
  <si>
    <t>Himachal Pradesh</t>
  </si>
  <si>
    <t>Uttarakhand</t>
  </si>
  <si>
    <t>Goa</t>
  </si>
  <si>
    <t>Jammu &amp; Kashmir</t>
  </si>
  <si>
    <t>Chandigarh</t>
  </si>
  <si>
    <t>Take-Home Salary</t>
  </si>
  <si>
    <t xml:space="preserve">  Tax Year 2026-27  |  Income Tax Act, 2025 + EPF Act, 1952 + State Professional Tax</t>
  </si>
  <si>
    <t xml:space="preserve">  ⚡  Blue cells are INPUT fields  |  All amounts in ₹ unless stated otherwise</t>
  </si>
  <si>
    <t xml:space="preserve">  📋  SECTION A : BASIC DETAILS</t>
  </si>
  <si>
    <t xml:space="preserve">  ► Age Category  [Select from dropdown ▼]</t>
  </si>
  <si>
    <t>Below 60 yrs</t>
  </si>
  <si>
    <t xml:space="preserve">  ► Gender  [Select from dropdown ▼] — only affects Maharashtra Professional Tax</t>
  </si>
  <si>
    <t xml:space="preserve">  ► State / UT of Work Location  [Select from dropdown ▼] — for Professional Tax</t>
  </si>
  <si>
    <t>See 🗺️ State PT Reference sheet for the full list and rates.</t>
  </si>
  <si>
    <t xml:space="preserve">  ► Tax Regime  [Select from dropdown ▼]</t>
  </si>
  <si>
    <t>New Regime</t>
  </si>
  <si>
    <t xml:space="preserve">  💰  SECTION B : SALARY STRUCTURE  (Monthly, ₹)</t>
  </si>
  <si>
    <t xml:space="preserve">  ► Basic Salary</t>
  </si>
  <si>
    <t xml:space="preserve">  ► Dearness Allowance (DA)</t>
  </si>
  <si>
    <t>Include only if your employer pays a separate DA component.</t>
  </si>
  <si>
    <t xml:space="preserve">  ► HRA Received</t>
  </si>
  <si>
    <t xml:space="preserve">  ► Other Allowances / Special Allowance</t>
  </si>
  <si>
    <t xml:space="preserve">  ► Annual Bonus / Variable Pay (Annual, ₹)</t>
  </si>
  <si>
    <t xml:space="preserve">  ► Leave Travel Allowance (LTA) Received (Annual, ₹)</t>
  </si>
  <si>
    <t>Paid as cash salary — becomes tax-exempt only if you claim it under Old Regime with actual travel proof (Section E).</t>
  </si>
  <si>
    <t xml:space="preserve">  Gross Monthly Salary (cash components only)</t>
  </si>
  <si>
    <t xml:space="preserve">  Gross Annual Salary (cash — including bonus &amp; LTA)</t>
  </si>
  <si>
    <t>Does NOT include Employer NPS Contribution below — that goes directly to your NPS account, not into your take-home pay.</t>
  </si>
  <si>
    <t xml:space="preserve">  Employer NPS Contribution (Section 124, formerly 80CCD(2)) — the one deduction available under BOTH tax regimes. Goes straight to your NPS account, not into your take-home pay, but reduces your taxable salary.</t>
  </si>
  <si>
    <t xml:space="preserve">  ► Employer NPS Contribution (Monthly, ₹)</t>
  </si>
  <si>
    <t>Ask your HR whether this is already part of your CTC structure — it's increasingly common and genuinely reduces tax even under New Regime.</t>
  </si>
  <si>
    <t xml:space="preserve">  ► Government Employee?  [Select from dropdown ▼]</t>
  </si>
  <si>
    <t>No</t>
  </si>
  <si>
    <t>Affects the Old Regime cap only — New Regime is 14% for everyone either way.</t>
  </si>
  <si>
    <t xml:space="preserve">  Employer NPS Contribution (Annual)</t>
  </si>
  <si>
    <t xml:space="preserve">  🏦  SECTION C : EPF CONTRIBUTION  (Employees' Provident Fund Act, 1952)</t>
  </si>
  <si>
    <t xml:space="preserve">  The EPFO wage ceiling rose from Rs 15,000 to Rs 25,000 on 17 September 2026 (Cabinet decision, PIB confirmed) — but detailed implementation rules for existing employees were not yet public when this was built. Verify current EPFO guidance, and adjust the ceiling below if needed.</t>
  </si>
  <si>
    <t xml:space="preserve">  ► EPF Wage Ceiling (Rs/month) [editable — default reflects the new Sept-2026 ceiling]</t>
  </si>
  <si>
    <t xml:space="preserve">  ► Employee EPF Rate (default 12% — some notified establishments use 10%)</t>
  </si>
  <si>
    <t xml:space="preserve">  EPF Wage Base (Basic + DA, capped at the ceiling)</t>
  </si>
  <si>
    <t xml:space="preserve">  Employee EPF Contribution (Monthly)</t>
  </si>
  <si>
    <t xml:space="preserve">  Employer EPF Contribution (Monthly, informational — does not reduce your take-home)</t>
  </si>
  <si>
    <t xml:space="preserve">  — of which EPS/Pension Share (Employer's, capped at Rs 15,000 wage base per EPS rules)</t>
  </si>
  <si>
    <t>EPS remains capped at the OLD Rs 15,000 ceiling even after the EPF wage ceiling rose — EPS-specific rules were not part of the September 2026 change.</t>
  </si>
  <si>
    <t xml:space="preserve">  🗺️  SECTION D : PROFESSIONAL TAX  (State-specific)</t>
  </si>
  <si>
    <t xml:space="preserve">  Effective PT Category (from your Gender + State above)</t>
  </si>
  <si>
    <t xml:space="preserve">  — Maharashtra Male special case? (3-tier structure)</t>
  </si>
  <si>
    <t xml:space="preserve">  Nil Threshold (from State PT Reference table)</t>
  </si>
  <si>
    <t xml:space="preserve">  Monthly PT Rate above threshold (from State PT Reference table)</t>
  </si>
  <si>
    <t xml:space="preserve">  Professional Tax (Monthly)</t>
  </si>
  <si>
    <t xml:space="preserve">  PT Rate in February (from State PT Reference table)</t>
  </si>
  <si>
    <t xml:space="preserve">  Professional Tax (Annual)</t>
  </si>
  <si>
    <t xml:space="preserve">  Correctly applies 11 months at the regular rate plus 1 month (February) at the higher rate, where applicable — not a flat x12.</t>
  </si>
  <si>
    <t xml:space="preserve">  🏠  SECTION E : HRA EXEMPTION &amp; OTHER DEDUCTIONS  (Old Regime only)</t>
  </si>
  <si>
    <t xml:space="preserve">  Only used if you selected Old Regime above — the New Regime does not allow HRA exemption or Sec 123/80D deductions.</t>
  </si>
  <si>
    <t xml:space="preserve">  ► Rent Paid (Monthly, ₹)</t>
  </si>
  <si>
    <t xml:space="preserve">  ► City  [Select from dropdown ▼]</t>
  </si>
  <si>
    <t xml:space="preserve">  ► Other Sec 123/126 Deductions (80C/80D-type investments &amp; insurance, combined, ₹, Annual)</t>
  </si>
  <si>
    <t>A simplified combined input — for detailed 80C/80D modeling, see this series' dedicated calculators.</t>
  </si>
  <si>
    <t xml:space="preserve">  ► LTA Exemption Claimed — actual travel cost, with proof (Annual, ₹)</t>
  </si>
  <si>
    <t>Exemption is the LOWER of LTA received and actual travel fare — old regime only, and only for 2 journeys in the current 4-year block. Enter your actual travel cost here, not the full LTA received.</t>
  </si>
  <si>
    <t xml:space="preserve">  % applicable for city selected</t>
  </si>
  <si>
    <t xml:space="preserve">  Limb 1: Actual HRA received (Annual)</t>
  </si>
  <si>
    <t xml:space="preserve">  Limb 2: Rent paid minus 10% of Basic+DA (Annual)</t>
  </si>
  <si>
    <t xml:space="preserve">  Limb 3: % of Basic+DA as per city (Annual)</t>
  </si>
  <si>
    <t xml:space="preserve">  HRA Exemption (least of the three limbs)</t>
  </si>
  <si>
    <t xml:space="preserve">  LTA Exemption (Schedule III — Old Regime only)</t>
  </si>
  <si>
    <t xml:space="preserve">  📊  SECTION F : TAX COMPUTATION</t>
  </si>
  <si>
    <t xml:space="preserve">  ► Standard Deduction (₹) [editable — 75,000 New Regime / 50,000 Old Regime]</t>
  </si>
  <si>
    <t>Change to 50,000 if you selected Old Regime above.</t>
  </si>
  <si>
    <t xml:space="preserve">  Employer NPS Deduction Cap — Sec 124 (14% New Regime always | 14%/10% govt/private Old Regime)</t>
  </si>
  <si>
    <t xml:space="preserve">  Employer NPS Deduction Allowed (lower of actual and cap — available in BOTH regimes)</t>
  </si>
  <si>
    <t>Excess employer NPS contribution above this cap remains taxable — not lost, just not deductible.</t>
  </si>
  <si>
    <t xml:space="preserve">  TAXABLE INCOME</t>
  </si>
  <si>
    <t>Employer NPS is added back here because it IS taxable salary — then the Sec 124 deduction above removes it again, up to the cap.</t>
  </si>
  <si>
    <t xml:space="preserve">  Slab Tax</t>
  </si>
  <si>
    <t xml:space="preserve">  Less: Rebate u/s 156 (New: up to Rs 60,000 if income &lt;= Rs 12L | Old: up to Rs 12,500 if income &lt;= Rs 5L)</t>
  </si>
  <si>
    <t xml:space="preserve">  Less: Marginal Relief u/s 156</t>
  </si>
  <si>
    <t xml:space="preserve">  Tax After Rebate &amp; Marginal Relief</t>
  </si>
  <si>
    <t xml:space="preserve">  Surcharge (if income &gt; Rs 50 Lakhs)</t>
  </si>
  <si>
    <t xml:space="preserve">  Less: Marginal Relief on Surcharge</t>
  </si>
  <si>
    <t xml:space="preserve">  Surcharge After Marginal Relief</t>
  </si>
  <si>
    <t xml:space="preserve">  Tax + Surcharge, before Cess</t>
  </si>
  <si>
    <t xml:space="preserve">  Health &amp; Education Cess @ 4%</t>
  </si>
  <si>
    <t xml:space="preserve">  TOTAL ANNUAL TAX PAYABLE</t>
  </si>
  <si>
    <t xml:space="preserve">  ✅  SECTION G : TAKE-HOME SUMMARY</t>
  </si>
  <si>
    <t xml:space="preserve">  Estimated Monthly Income Tax (TDS)</t>
  </si>
  <si>
    <t xml:space="preserve">  Gross Monthly Salary</t>
  </si>
  <si>
    <t xml:space="preserve">  Less: Employee EPF Contribution</t>
  </si>
  <si>
    <t xml:space="preserve">  Less: Professional Tax</t>
  </si>
  <si>
    <t xml:space="preserve">  Less: Income Tax (Monthly TDS estimate)</t>
  </si>
  <si>
    <t xml:space="preserve">  NET MONTHLY TAKE-HOME</t>
  </si>
  <si>
    <t xml:space="preserve">  Net Annual Take-Home (including bonus, minus annual EPF/PT/Tax)</t>
  </si>
  <si>
    <t xml:space="preserve">  📌  SECTION H : IMPORTANT NOTES &amp; DISCLAIMERS</t>
  </si>
  <si>
    <t xml:space="preserve">  1.  THREE SEPARATE STATUTES: This calculator combines the Income Tax Act 2025 (income tax), the EPF Act 1952 (provident fund), and each state's own Professional Tax Act — three genuinely different laws, not one. Treat accuracy expectations accordingly: the income tax engine is fully validated against this series' other calculators; EPF and Professional Tax carry the caveats below.</t>
  </si>
  <si>
    <t xml:space="preserve">  2.  EPF WAGE CEILING — MAJOR RECENT CHANGE: The Rs 25,000 default reflects a Cabinet decision effective 17 September 2026, confirmed via PIB release across multiple independent news sources. However, the Gazette notification and EPFO's detailed implementation circular — covering existing employees, part-month transitions, and other edge cases — were not yet public when this was built. If your payroll department has not yet implemented the new ceiling, change the input back to Rs 15,000.</t>
  </si>
  <si>
    <t xml:space="preserve">  3.  EPS REMAINS AT THE OLD Rs 15,000 CEILING: The September 2026 change affects the overall EPF wage ceiling, but EPS (pension) contributions are shown capped at the older Rs 15,000 wage base — this was not confirmed as part of the same change and needs separate verification once EPFO's circular is published.</t>
  </si>
  <si>
    <t xml:space="preserve">  4.  PROFESSIONAL TAX — SIMPLIFIED FOR MOST STATES: Full multi-tier accuracy is provided only for Maharashtra (including its gender-based exemption) and Karnataka. Every other state shown uses a single flat monthly rate above a nil threshold as an approximation of that state's real multi-slab structure — see the 🗺️ State PT Reference sheet for exactly which states this applies to, and verify exact slabs before using this for actual payroll.</t>
  </si>
  <si>
    <t xml:space="preserve">  5.  PUNJAB IS NOT PROFESSIONAL TAX: What's commonly grouped with PT in Punjab is actually 'Development Tax' under a separate Act. Shown here for completeness, but it is a different levy in law.</t>
  </si>
  <si>
    <t xml:space="preserve">  6.  ODISHA REPEALED PROFESSIONAL TAX: Effective 1 April 2026, Odisha no longer levies Professional Tax at all — shown correctly as Rs 0 in the reference table.</t>
  </si>
  <si>
    <t xml:space="preserve">  7.  MONTHLY TAX IS A SIMPLE AVERAGE: The Monthly TDS estimate is your Total Annual Tax divided by 12 — actual employer TDS deduction schedules can differ (front-loaded, adjusted for bonus timing, etc.), so your real monthly deduction may not match this exactly, even though the annual total should.</t>
  </si>
  <si>
    <t xml:space="preserve">  8.  OTHER DEDUCTIONS ARE SIMPLIFIED: Section E's combined Sec 123/126 input is a single figure for convenience — for detailed 80C/80D-type planning, use this series' dedicated calculators.</t>
  </si>
  <si>
    <t xml:space="preserve">  9.  DISCLAIMER: For estimation and planning purposes only. Not a substitute for professional payroll, tax, or EPF compliance advice — especially given how recently the EPF wage ceiling changed.</t>
  </si>
  <si>
    <t>HOW TO USE — In-Hand / Take-Home Salary Calculator</t>
  </si>
  <si>
    <t xml:space="preserve">  STEP 1:  Select your Age Category, Gender, State of work location, and Tax Regime in Section A.</t>
  </si>
  <si>
    <t xml:space="preserve">  STEP 2:  Enter your salary structure (Basic, DA, HRA, Other Allowances, Bonus) in Section B — all monthly figures except bonus.</t>
  </si>
  <si>
    <t xml:space="preserve">  STEP 3:  Section C computes your EPF contribution automatically. Check the ceiling default against your actual payslip — it reflects a Cabinet decision from 17 September 2026 that your employer's payroll system may not have implemented yet.</t>
  </si>
  <si>
    <t xml:space="preserve">  STEP 4:  Section D computes your Professional Tax automatically based on your State and Gender. Check 🗺️ State PT Reference for which states have full accuracy vs. a simplified approximation.</t>
  </si>
  <si>
    <t xml:space="preserve">  STEP 5:  If you selected Old Regime, fill in Section E — your rent and city determine your HRA exemption; enter your actual LTA travel cost (not the full LTA received) if claiming it; enter any other 80C/80D-type investments as a combined figure.</t>
  </si>
  <si>
    <t xml:space="preserve">  STEP 5b:  If your employer contributes to NPS on your behalf, enter it in Section B — this is worth checking even under New Regime, since it's one of the few deductions that survives there.</t>
  </si>
  <si>
    <t xml:space="preserve">  STEP 6:  Section F computes your full income tax — slab tax, rebate, marginal relief, surcharge and cess — using this series' validated engine.</t>
  </si>
  <si>
    <t xml:space="preserve">  STEP 7:  Section G is your answer — Net Monthly Take-Home, plus the Net Annual figure including any bonus.</t>
  </si>
  <si>
    <t xml:space="preserve">  WHO IS THIS FOR?:  Anyone comparing job offers, negotiating a raise, or just wanting to know what actually lands in their bank account each month.</t>
  </si>
  <si>
    <t xml:space="preserve">  COMPARING OLD VS NEW REGIME?:  This calculator computes ONE regime at a time. For a side-by-side comparison to help you choose, use this series' dedicated Old vs New Regime calculator instead.</t>
  </si>
  <si>
    <t xml:space="preserve">  DISCLAIMER:  For estimation only. This combines three separate laws — Income Tax Act 2025, EPF Act 1952, and state Professional Tax Acts — and the EPF wage ceiling changed very recently. Verify current figures, especially EPF, before relying on this for an actual employment decision.</t>
  </si>
  <si>
    <t>© taxbizmantra.com  |  Free Tax Excel Utility Series  |  In-Hand / Take-Home Salary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</si>
</sst>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 &quot;#,##0"/>
  </numFmts>
  <fonts count="30" x14ac:knownFonts="1">
    <font>
      <sz val="11"/>
      <color theme="1"/>
      <name val="Calibri"/>
      <family val="2"/>
      <charset val="1"/>
    </font>
    <font>
      <b/>
      <sz val="22"/>
      <color rgb="FFF9A825"/>
      <name val="Times New Roman"/>
      <family val="1"/>
    </font>
    <font>
      <i/>
      <sz val="11"/>
      <color rgb="FFFFFFFF"/>
      <name val="Times New Roman"/>
      <family val="1"/>
    </font>
    <font>
      <b/>
      <sz val="24"/>
      <color rgb="FF1A237E"/>
      <name val="Times New Roman"/>
      <family val="1"/>
    </font>
    <font>
      <i/>
      <sz val="12"/>
      <color rgb="FF212121"/>
      <name val="Times New Roman"/>
      <family val="1"/>
    </font>
    <font>
      <b/>
      <sz val="11"/>
      <color rgb="FFFFFFFF"/>
      <name val="Times New Roman"/>
      <family val="1"/>
    </font>
    <font>
      <b/>
      <sz val="12"/>
      <color rgb="FFFFFFFF"/>
      <name val="Times New Roman"/>
      <family val="1"/>
    </font>
    <font>
      <sz val="10"/>
      <color rgb="FF212121"/>
      <name val="Times New Roman"/>
      <family val="1"/>
    </font>
    <font>
      <b/>
      <sz val="10"/>
      <color rgb="FF1A237E"/>
      <name val="Times New Roman"/>
      <family val="1"/>
    </font>
    <font>
      <i/>
      <sz val="9"/>
      <color rgb="FF212121"/>
      <name val="Times New Roman"/>
      <family val="1"/>
    </font>
    <font>
      <b/>
      <sz val="9"/>
      <color rgb="FFC62828"/>
      <name val="Times New Roman"/>
      <family val="1"/>
    </font>
    <font>
      <sz val="9"/>
      <color rgb="FFF9A825"/>
      <name val="Times New Roman"/>
      <family val="1"/>
    </font>
    <font>
      <b/>
      <sz val="18"/>
      <color rgb="FFF9A825"/>
      <name val="Times New Roman"/>
      <family val="1"/>
    </font>
    <font>
      <sz val="10"/>
      <color rgb="FFFFFFFF"/>
      <name val="Times New Roman"/>
      <family val="1"/>
    </font>
    <font>
      <sz val="9"/>
      <color rgb="FF212121"/>
      <name val="Times New Roman"/>
      <family val="1"/>
    </font>
    <font>
      <b/>
      <sz val="9"/>
      <color rgb="FFFFFFFF"/>
      <name val="Times New Roman"/>
      <family val="1"/>
    </font>
    <font>
      <b/>
      <sz val="13"/>
      <color rgb="FFFFFFFF"/>
      <name val="Times New Roman"/>
      <family val="1"/>
    </font>
    <font>
      <sz val="10"/>
      <color rgb="FF0000FF"/>
      <name val="Times New Roman"/>
      <family val="1"/>
    </font>
    <font>
      <i/>
      <sz val="8"/>
      <color rgb="FF9E9E9E"/>
      <name val="Times New Roman"/>
      <family val="1"/>
    </font>
    <font>
      <b/>
      <sz val="10"/>
      <color rgb="FF212121"/>
      <name val="Times New Roman"/>
      <family val="1"/>
    </font>
    <font>
      <i/>
      <sz val="10"/>
      <color rgb="FF212121"/>
      <name val="Times New Roman"/>
      <family val="1"/>
    </font>
    <font>
      <b/>
      <sz val="12"/>
      <color rgb="FFF9A825"/>
      <name val="Times New Roman"/>
      <family val="1"/>
    </font>
    <font>
      <b/>
      <sz val="14"/>
      <color rgb="FFF9A825"/>
      <name val="Times New Roman"/>
      <family val="1"/>
    </font>
    <font>
      <b/>
      <sz val="15"/>
      <color rgb="FFF9A825"/>
      <name val="Times New Roman"/>
      <family val="1"/>
    </font>
    <font>
      <sz val="9"/>
      <color rgb="FF9E9E9E"/>
      <name val="Times New Roman"/>
      <family val="1"/>
    </font>
    <font>
      <sz val="9"/>
      <color rgb="FFC62828"/>
      <name val="Times New Roman"/>
      <family val="1"/>
    </font>
    <font>
      <b/>
      <sz val="11"/>
      <color rgb="FF212121"/>
      <name val="Times New Roman"/>
      <family val="1"/>
    </font>
    <font>
      <sz val="11"/>
      <color rgb="FFF9A825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1A237E"/>
        <bgColor rgb="FF333399"/>
      </patternFill>
    </fill>
    <fill>
      <patternFill patternType="solid">
        <fgColor rgb="FFE65100"/>
        <bgColor rgb="FFC62828"/>
      </patternFill>
    </fill>
    <fill>
      <patternFill patternType="solid">
        <fgColor rgb="FFE8EAF6"/>
        <bgColor rgb="FFDCEEFF"/>
      </patternFill>
    </fill>
    <fill>
      <patternFill patternType="solid">
        <fgColor rgb="FFFFFFFF"/>
        <bgColor rgb="FFFFFDE7"/>
      </patternFill>
    </fill>
    <fill>
      <patternFill patternType="solid">
        <fgColor rgb="FFFFEBEE"/>
        <bgColor rgb="FFFFF3E0"/>
      </patternFill>
    </fill>
    <fill>
      <patternFill patternType="solid">
        <fgColor rgb="FFFFFDE7"/>
        <bgColor rgb="FFFFF3E0"/>
      </patternFill>
    </fill>
    <fill>
      <patternFill patternType="solid">
        <fgColor rgb="FFDCEEFF"/>
        <bgColor rgb="FFE8EAF6"/>
      </patternFill>
    </fill>
    <fill>
      <patternFill patternType="solid">
        <fgColor rgb="FFC5CAE9"/>
        <bgColor rgb="FFD0D0D0"/>
      </patternFill>
    </fill>
    <fill>
      <patternFill patternType="solid">
        <fgColor rgb="FFF5F5F5"/>
        <bgColor rgb="FFE8F5E9"/>
      </patternFill>
    </fill>
    <fill>
      <patternFill patternType="solid">
        <fgColor rgb="FFFFF3E0"/>
        <bgColor rgb="FFFFEBEE"/>
      </patternFill>
    </fill>
    <fill>
      <patternFill patternType="solid">
        <fgColor rgb="FFE8F5E9"/>
        <bgColor rgb="FFF5F5F5"/>
      </patternFill>
    </fill>
  </fills>
  <borders count="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3" fillId="3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4" fillId="4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3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17" fillId="8" borderId="1" xfId="0" applyFont="1" applyFill="1" applyBorder="1" applyAlignment="1">
      <alignment horizontal="center" vertical="center"/>
    </xf>
    <xf numFmtId="0" fontId="18" fillId="4" borderId="0" xfId="0" applyFont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18" fillId="5" borderId="0" xfId="0" applyFont="1" applyFill="1" applyAlignment="1">
      <alignment vertical="center" wrapText="1"/>
    </xf>
    <xf numFmtId="3" fontId="17" fillId="8" borderId="1" xfId="0" applyNumberFormat="1" applyFont="1" applyFill="1" applyBorder="1" applyAlignment="1">
      <alignment horizontal="center" vertical="center"/>
    </xf>
    <xf numFmtId="0" fontId="19" fillId="4" borderId="0" xfId="0" applyFont="1" applyFill="1" applyAlignment="1">
      <alignment vertical="center" wrapText="1"/>
    </xf>
    <xf numFmtId="3" fontId="19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9" fontId="17" fillId="8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10" borderId="0" xfId="0" applyFont="1" applyFill="1" applyAlignment="1">
      <alignment vertical="center" wrapText="1"/>
    </xf>
    <xf numFmtId="1" fontId="7" fillId="10" borderId="1" xfId="0" applyNumberFormat="1" applyFont="1" applyFill="1" applyBorder="1" applyAlignment="1">
      <alignment horizontal="center" vertical="center"/>
    </xf>
    <xf numFmtId="0" fontId="18" fillId="10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/>
    </xf>
    <xf numFmtId="9" fontId="7" fillId="5" borderId="1" xfId="0" applyNumberFormat="1" applyFont="1" applyFill="1" applyBorder="1" applyAlignment="1">
      <alignment horizontal="center" vertical="center"/>
    </xf>
    <xf numFmtId="0" fontId="19" fillId="11" borderId="0" xfId="0" applyFont="1" applyFill="1" applyAlignment="1">
      <alignment vertical="center" wrapText="1"/>
    </xf>
    <xf numFmtId="3" fontId="19" fillId="11" borderId="1" xfId="0" applyNumberFormat="1" applyFont="1" applyFill="1" applyBorder="1" applyAlignment="1">
      <alignment horizontal="center" vertical="center"/>
    </xf>
    <xf numFmtId="0" fontId="18" fillId="11" borderId="0" xfId="0" applyFont="1" applyFill="1" applyAlignment="1">
      <alignment vertical="center" wrapText="1"/>
    </xf>
    <xf numFmtId="0" fontId="7" fillId="7" borderId="0" xfId="0" applyFont="1" applyFill="1" applyAlignment="1">
      <alignment vertical="center" wrapText="1"/>
    </xf>
    <xf numFmtId="3" fontId="7" fillId="7" borderId="1" xfId="0" applyNumberFormat="1" applyFont="1" applyFill="1" applyBorder="1" applyAlignment="1">
      <alignment horizontal="center" vertical="center"/>
    </xf>
    <xf numFmtId="0" fontId="18" fillId="7" borderId="0" xfId="0" applyFont="1" applyFill="1" applyAlignment="1">
      <alignment vertical="center" wrapText="1"/>
    </xf>
    <xf numFmtId="0" fontId="19" fillId="5" borderId="0" xfId="0" applyFont="1" applyFill="1" applyAlignment="1">
      <alignment vertical="center" wrapText="1"/>
    </xf>
    <xf numFmtId="3" fontId="19" fillId="5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164" fontId="21" fillId="2" borderId="1" xfId="0" applyNumberFormat="1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center" vertical="center"/>
    </xf>
    <xf numFmtId="0" fontId="19" fillId="12" borderId="0" xfId="0" applyFont="1" applyFill="1" applyAlignment="1">
      <alignment vertical="center" wrapText="1"/>
    </xf>
    <xf numFmtId="3" fontId="19" fillId="12" borderId="1" xfId="0" applyNumberFormat="1" applyFont="1" applyFill="1" applyBorder="1" applyAlignment="1">
      <alignment horizontal="center" vertical="center"/>
    </xf>
    <xf numFmtId="0" fontId="18" fillId="12" borderId="0" xfId="0" applyFont="1" applyFill="1" applyAlignment="1">
      <alignment vertical="center" wrapText="1"/>
    </xf>
    <xf numFmtId="0" fontId="14" fillId="7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indent="1"/>
    </xf>
    <xf numFmtId="0" fontId="16" fillId="2" borderId="0" xfId="0" applyFont="1" applyFill="1" applyAlignment="1">
      <alignment horizontal="right" vertical="center" wrapText="1" indent="1"/>
    </xf>
    <xf numFmtId="0" fontId="5" fillId="2" borderId="0" xfId="0" applyFont="1" applyFill="1" applyAlignment="1">
      <alignment horizontal="left" vertical="center"/>
    </xf>
    <xf numFmtId="0" fontId="20" fillId="9" borderId="0" xfId="0" applyFont="1" applyFill="1" applyAlignment="1">
      <alignment horizontal="left" vertical="center" wrapText="1"/>
    </xf>
    <xf numFmtId="3" fontId="19" fillId="4" borderId="2" xfId="0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4" fillId="10" borderId="0" xfId="0" applyFont="1" applyFill="1" applyAlignment="1">
      <alignment vertical="center" wrapText="1"/>
    </xf>
    <xf numFmtId="0" fontId="25" fillId="5" borderId="0" xfId="0" applyFont="1" applyFill="1" applyAlignment="1">
      <alignment vertical="center" wrapText="1"/>
    </xf>
    <xf numFmtId="0" fontId="25" fillId="10" borderId="0" xfId="0" applyFont="1" applyFill="1" applyAlignment="1">
      <alignment vertical="center" wrapText="1"/>
    </xf>
    <xf numFmtId="0" fontId="24" fillId="5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0" borderId="0" xfId="0" applyFont="1"/>
    <xf numFmtId="0" fontId="28" fillId="2" borderId="0" xfId="0" applyFont="1" applyFill="1"/>
    <xf numFmtId="0" fontId="28" fillId="4" borderId="0" xfId="0" applyFont="1" applyFill="1"/>
    <xf numFmtId="0" fontId="28" fillId="5" borderId="0" xfId="0" applyFont="1" applyFill="1"/>
    <xf numFmtId="0" fontId="28" fillId="10" borderId="0" xfId="0" applyFont="1" applyFill="1"/>
    <xf numFmtId="0" fontId="28" fillId="11" borderId="0" xfId="0" applyFont="1" applyFill="1"/>
    <xf numFmtId="0" fontId="28" fillId="7" borderId="0" xfId="0" applyFont="1" applyFill="1"/>
    <xf numFmtId="0" fontId="28" fillId="12" borderId="0" xfId="0" applyFont="1" applyFill="1"/>
    <xf numFmtId="0" fontId="29" fillId="0" borderId="0" xfId="0" applyFont="1"/>
    <xf numFmtId="0" fontId="28" fillId="0" borderId="0" xfId="0" applyFont="1" applyProtection="1">
      <protection locked="0"/>
    </xf>
    <xf numFmtId="0" fontId="6" fillId="2" borderId="0" xfId="0" applyFont="1" applyFill="1" applyAlignment="1" applyProtection="1">
      <alignment horizontal="left" vertical="center" indent="1"/>
      <protection locked="0"/>
    </xf>
    <xf numFmtId="0" fontId="7" fillId="4" borderId="0" xfId="0" applyFont="1" applyFill="1" applyAlignment="1" applyProtection="1">
      <alignment horizontal="left" vertical="center" wrapText="1" indent="1"/>
      <protection locked="0"/>
    </xf>
    <xf numFmtId="0" fontId="7" fillId="5" borderId="0" xfId="0" applyFont="1" applyFill="1" applyAlignment="1" applyProtection="1">
      <alignment horizontal="left" vertical="center" wrapText="1" indent="1"/>
      <protection locked="0"/>
    </xf>
    <xf numFmtId="0" fontId="8" fillId="4" borderId="0" xfId="0" applyFont="1" applyFill="1" applyProtection="1">
      <protection locked="0"/>
    </xf>
    <xf numFmtId="0" fontId="9" fillId="4" borderId="0" xfId="0" applyFont="1" applyFill="1" applyAlignment="1" applyProtection="1">
      <alignment wrapText="1"/>
      <protection locked="0"/>
    </xf>
    <xf numFmtId="0" fontId="8" fillId="5" borderId="0" xfId="0" applyFont="1" applyFill="1" applyProtection="1">
      <protection locked="0"/>
    </xf>
    <xf numFmtId="0" fontId="9" fillId="5" borderId="0" xfId="0" applyFont="1" applyFill="1" applyAlignment="1" applyProtection="1">
      <alignment wrapText="1"/>
      <protection locked="0"/>
    </xf>
    <xf numFmtId="0" fontId="10" fillId="6" borderId="0" xfId="0" applyFont="1" applyFill="1" applyAlignment="1" applyProtection="1">
      <alignment horizontal="left" vertical="center" wrapText="1" indent="1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28" fillId="0" borderId="0" xfId="0" applyFont="1" applyProtection="1"/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 wrapText="1"/>
    </xf>
    <xf numFmtId="0" fontId="19" fillId="4" borderId="0" xfId="0" applyFont="1" applyFill="1" applyAlignment="1">
      <alignment vertical="center" wrapText="1"/>
    </xf>
    <xf numFmtId="0" fontId="19" fillId="5" borderId="0" xfId="0" applyFont="1" applyFill="1" applyAlignment="1">
      <alignment vertical="center" wrapText="1"/>
    </xf>
    <xf numFmtId="0" fontId="26" fillId="4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D0D0"/>
      <rgbColor rgb="FF808080"/>
      <rgbColor rgb="FF9999FF"/>
      <rgbColor rgb="FF993366"/>
      <rgbColor rgb="FFFFFDE7"/>
      <rgbColor rgb="FFDCEEFF"/>
      <rgbColor rgb="FF660066"/>
      <rgbColor rgb="FFFF8080"/>
      <rgbColor rgb="FF0066CC"/>
      <rgbColor rgb="FFC5CA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E8EAF6"/>
      <rgbColor rgb="FFFFF3E0"/>
      <rgbColor rgb="FFF5F5F5"/>
      <rgbColor rgb="FFFF99CC"/>
      <rgbColor rgb="FFCC99FF"/>
      <rgbColor rgb="FFFFEBEE"/>
      <rgbColor rgb="FF3366FF"/>
      <rgbColor rgb="FF33CCCC"/>
      <rgbColor rgb="FF99CC00"/>
      <rgbColor rgb="FFFFCC00"/>
      <rgbColor rgb="FFF9A825"/>
      <rgbColor rgb="FFE65100"/>
      <rgbColor rgb="FF666699"/>
      <rgbColor rgb="FF9E9E9E"/>
      <rgbColor rgb="FF1A237E"/>
      <rgbColor rgb="FF339966"/>
      <rgbColor rgb="FF003300"/>
      <rgbColor rgb="FF333300"/>
      <rgbColor rgb="FFC62828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zoomScaleNormal="100" workbookViewId="0">
      <selection activeCell="A2" sqref="A2:D10"/>
    </sheetView>
  </sheetViews>
  <sheetFormatPr defaultColWidth="8.7109375" defaultRowHeight="15" x14ac:dyDescent="0.25"/>
  <cols>
    <col min="1" max="1" width="3" style="65" customWidth="1"/>
    <col min="2" max="2" width="70" style="65" customWidth="1"/>
    <col min="3" max="3" width="22" style="65" customWidth="1"/>
    <col min="4" max="4" width="3" style="65" customWidth="1"/>
    <col min="5" max="16384" width="8.7109375" style="65"/>
  </cols>
  <sheetData>
    <row r="1" spans="1:4" ht="7.5" customHeight="1" x14ac:dyDescent="0.25"/>
    <row r="2" spans="1:4" ht="45.75" customHeight="1" x14ac:dyDescent="0.25">
      <c r="A2" s="75" t="s">
        <v>0</v>
      </c>
      <c r="B2" s="75"/>
      <c r="C2" s="75"/>
      <c r="D2" s="75"/>
    </row>
    <row r="3" spans="1:4" ht="21.75" customHeight="1" x14ac:dyDescent="0.25">
      <c r="A3" s="76" t="s">
        <v>1</v>
      </c>
      <c r="B3" s="76"/>
      <c r="C3" s="76"/>
      <c r="D3" s="76"/>
    </row>
    <row r="4" spans="1:4" ht="9.75" customHeight="1" x14ac:dyDescent="0.25">
      <c r="A4" s="77"/>
      <c r="B4" s="77"/>
      <c r="C4" s="77"/>
      <c r="D4" s="77"/>
    </row>
    <row r="5" spans="1:4" x14ac:dyDescent="0.25">
      <c r="A5" s="77"/>
      <c r="B5" s="77"/>
      <c r="C5" s="77"/>
      <c r="D5" s="77"/>
    </row>
    <row r="6" spans="1:4" ht="31.5" customHeight="1" x14ac:dyDescent="0.25">
      <c r="A6" s="78" t="s">
        <v>2</v>
      </c>
      <c r="B6" s="78"/>
      <c r="C6" s="78"/>
      <c r="D6" s="78"/>
    </row>
    <row r="7" spans="1:4" ht="31.5" customHeight="1" x14ac:dyDescent="0.25">
      <c r="A7" s="78"/>
      <c r="B7" s="78"/>
      <c r="C7" s="78"/>
      <c r="D7" s="78"/>
    </row>
    <row r="8" spans="1:4" ht="21.75" customHeight="1" x14ac:dyDescent="0.25">
      <c r="A8" s="79" t="s">
        <v>3</v>
      </c>
      <c r="B8" s="79"/>
      <c r="C8" s="79"/>
      <c r="D8" s="79"/>
    </row>
    <row r="9" spans="1:4" ht="9.75" customHeight="1" x14ac:dyDescent="0.25">
      <c r="A9" s="77"/>
      <c r="B9" s="77"/>
      <c r="C9" s="77"/>
      <c r="D9" s="77"/>
    </row>
    <row r="10" spans="1:4" ht="30" customHeight="1" x14ac:dyDescent="0.25">
      <c r="A10" s="80" t="s">
        <v>4</v>
      </c>
      <c r="B10" s="80"/>
      <c r="C10" s="80"/>
      <c r="D10" s="80"/>
    </row>
    <row r="11" spans="1:4" ht="13.5" customHeight="1" x14ac:dyDescent="0.25"/>
    <row r="12" spans="1:4" ht="24" customHeight="1" x14ac:dyDescent="0.25">
      <c r="A12" s="66" t="s">
        <v>5</v>
      </c>
      <c r="B12" s="66"/>
      <c r="C12" s="66"/>
      <c r="D12" s="66"/>
    </row>
    <row r="13" spans="1:4" ht="31.5" customHeight="1" x14ac:dyDescent="0.25">
      <c r="A13" s="67" t="s">
        <v>6</v>
      </c>
      <c r="B13" s="67"/>
      <c r="C13" s="67"/>
      <c r="D13" s="67"/>
    </row>
    <row r="14" spans="1:4" ht="41.25" customHeight="1" x14ac:dyDescent="0.25">
      <c r="A14" s="68" t="s">
        <v>7</v>
      </c>
      <c r="B14" s="68"/>
      <c r="C14" s="68"/>
      <c r="D14" s="68"/>
    </row>
    <row r="15" spans="1:4" ht="45.75" customHeight="1" x14ac:dyDescent="0.25">
      <c r="A15" s="67" t="s">
        <v>8</v>
      </c>
      <c r="B15" s="67"/>
      <c r="C15" s="67"/>
      <c r="D15" s="67"/>
    </row>
    <row r="16" spans="1:4" ht="38.25" customHeight="1" x14ac:dyDescent="0.25">
      <c r="A16" s="68" t="s">
        <v>9</v>
      </c>
      <c r="B16" s="68"/>
      <c r="C16" s="68"/>
      <c r="D16" s="68"/>
    </row>
    <row r="17" spans="1:4" ht="44.25" customHeight="1" x14ac:dyDescent="0.25">
      <c r="A17" s="67" t="s">
        <v>10</v>
      </c>
      <c r="B17" s="67"/>
      <c r="C17" s="67"/>
      <c r="D17" s="67"/>
    </row>
    <row r="18" spans="1:4" ht="31.5" customHeight="1" x14ac:dyDescent="0.25">
      <c r="A18" s="68" t="s">
        <v>11</v>
      </c>
      <c r="B18" s="68"/>
      <c r="C18" s="68"/>
      <c r="D18" s="68"/>
    </row>
    <row r="19" spans="1:4" ht="31.5" customHeight="1" x14ac:dyDescent="0.25">
      <c r="A19" s="67" t="s">
        <v>12</v>
      </c>
      <c r="B19" s="67"/>
      <c r="C19" s="67"/>
      <c r="D19" s="67"/>
    </row>
    <row r="21" spans="1:4" ht="24" customHeight="1" x14ac:dyDescent="0.25">
      <c r="A21" s="66" t="s">
        <v>13</v>
      </c>
      <c r="B21" s="66"/>
      <c r="C21" s="66"/>
      <c r="D21" s="66"/>
    </row>
    <row r="22" spans="1:4" ht="29.25" customHeight="1" x14ac:dyDescent="0.25">
      <c r="A22" s="69" t="s">
        <v>14</v>
      </c>
      <c r="B22" s="69" t="s">
        <v>15</v>
      </c>
      <c r="C22" s="70" t="s">
        <v>16</v>
      </c>
      <c r="D22" s="70"/>
    </row>
    <row r="23" spans="1:4" ht="34.5" customHeight="1" x14ac:dyDescent="0.25">
      <c r="A23" s="71" t="s">
        <v>14</v>
      </c>
      <c r="B23" s="71" t="s">
        <v>17</v>
      </c>
      <c r="C23" s="72" t="s">
        <v>18</v>
      </c>
      <c r="D23" s="72"/>
    </row>
    <row r="24" spans="1:4" ht="34.5" customHeight="1" x14ac:dyDescent="0.25">
      <c r="A24" s="69" t="s">
        <v>14</v>
      </c>
      <c r="B24" s="69" t="s">
        <v>19</v>
      </c>
      <c r="C24" s="70" t="s">
        <v>20</v>
      </c>
      <c r="D24" s="70"/>
    </row>
    <row r="26" spans="1:4" ht="75.75" customHeight="1" x14ac:dyDescent="0.25">
      <c r="A26" s="73" t="s">
        <v>21</v>
      </c>
      <c r="B26" s="73"/>
      <c r="C26" s="73"/>
      <c r="D26" s="73"/>
    </row>
    <row r="28" spans="1:4" ht="21.75" customHeight="1" x14ac:dyDescent="0.25">
      <c r="A28" s="74" t="s">
        <v>22</v>
      </c>
      <c r="B28" s="74"/>
      <c r="C28" s="74"/>
      <c r="D28" s="74"/>
    </row>
  </sheetData>
  <mergeCells count="19">
    <mergeCell ref="C23:D23"/>
    <mergeCell ref="C24:D24"/>
    <mergeCell ref="A26:D26"/>
    <mergeCell ref="A28:D28"/>
    <mergeCell ref="A17:D17"/>
    <mergeCell ref="A18:D18"/>
    <mergeCell ref="A19:D19"/>
    <mergeCell ref="A21:D21"/>
    <mergeCell ref="C22:D22"/>
    <mergeCell ref="A12:D12"/>
    <mergeCell ref="A13:D13"/>
    <mergeCell ref="A14:D14"/>
    <mergeCell ref="A15:D15"/>
    <mergeCell ref="A16:D16"/>
    <mergeCell ref="A2:D2"/>
    <mergeCell ref="A3:D3"/>
    <mergeCell ref="A6:D7"/>
    <mergeCell ref="A8:D8"/>
    <mergeCell ref="A10:D10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showGridLines="0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XFD1048576"/>
    </sheetView>
  </sheetViews>
  <sheetFormatPr defaultColWidth="8.7109375" defaultRowHeight="15" x14ac:dyDescent="0.25"/>
  <cols>
    <col min="1" max="1" width="2" style="56" customWidth="1"/>
    <col min="2" max="2" width="20" style="56" customWidth="1"/>
    <col min="3" max="4" width="16" style="56" customWidth="1"/>
    <col min="5" max="7" width="14" style="56" customWidth="1"/>
    <col min="8" max="8" width="42" style="56" customWidth="1"/>
    <col min="9" max="9" width="7.28515625" style="56" customWidth="1"/>
    <col min="10" max="16384" width="8.7109375" style="56"/>
  </cols>
  <sheetData>
    <row r="1" spans="1:9" ht="7.5" customHeight="1" x14ac:dyDescent="0.25"/>
    <row r="2" spans="1:9" ht="39.75" customHeight="1" x14ac:dyDescent="0.25">
      <c r="A2" s="2" t="s">
        <v>0</v>
      </c>
      <c r="B2" s="2"/>
      <c r="C2" s="2"/>
      <c r="D2" s="2"/>
      <c r="E2" s="2"/>
      <c r="F2" s="2"/>
      <c r="G2" s="2"/>
      <c r="H2" s="2"/>
    </row>
    <row r="3" spans="1:9" ht="21.75" customHeight="1" x14ac:dyDescent="0.25">
      <c r="A3" s="1" t="s">
        <v>23</v>
      </c>
      <c r="B3" s="1"/>
      <c r="C3" s="1"/>
      <c r="D3" s="1"/>
      <c r="E3" s="1"/>
      <c r="F3" s="1"/>
      <c r="G3" s="1"/>
      <c r="H3" s="1"/>
    </row>
    <row r="4" spans="1:9" ht="19.5" customHeight="1" x14ac:dyDescent="0.25">
      <c r="A4" s="41" t="s">
        <v>24</v>
      </c>
      <c r="B4" s="41"/>
      <c r="C4" s="41"/>
      <c r="D4" s="41"/>
      <c r="E4" s="41"/>
      <c r="F4" s="41"/>
      <c r="G4" s="41"/>
      <c r="H4" s="41"/>
    </row>
    <row r="6" spans="1:9" ht="30" customHeight="1" x14ac:dyDescent="0.25">
      <c r="A6" s="57"/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31</v>
      </c>
      <c r="I6" s="4" t="s">
        <v>32</v>
      </c>
    </row>
    <row r="7" spans="1:9" ht="30" customHeight="1" x14ac:dyDescent="0.25">
      <c r="A7" s="58"/>
      <c r="B7" s="5" t="s">
        <v>33</v>
      </c>
      <c r="C7" s="6" t="s">
        <v>34</v>
      </c>
      <c r="D7" s="6">
        <v>10000</v>
      </c>
      <c r="E7" s="6">
        <v>200</v>
      </c>
      <c r="F7" s="6">
        <v>300</v>
      </c>
      <c r="G7" s="7">
        <v>2500</v>
      </c>
      <c r="H7" s="5" t="s">
        <v>35</v>
      </c>
    </row>
    <row r="8" spans="1:9" ht="30" customHeight="1" x14ac:dyDescent="0.25">
      <c r="A8" s="59"/>
      <c r="B8" s="8" t="s">
        <v>33</v>
      </c>
      <c r="C8" s="9" t="s">
        <v>36</v>
      </c>
      <c r="D8" s="9">
        <v>25000</v>
      </c>
      <c r="E8" s="9">
        <v>200</v>
      </c>
      <c r="F8" s="9">
        <v>300</v>
      </c>
      <c r="G8" s="10">
        <v>2500</v>
      </c>
      <c r="H8" s="8" t="s">
        <v>35</v>
      </c>
    </row>
    <row r="9" spans="1:9" ht="30" customHeight="1" x14ac:dyDescent="0.25">
      <c r="A9" s="58"/>
      <c r="B9" s="5" t="s">
        <v>37</v>
      </c>
      <c r="C9" s="6" t="s">
        <v>38</v>
      </c>
      <c r="D9" s="6">
        <v>25000</v>
      </c>
      <c r="E9" s="6">
        <v>200</v>
      </c>
      <c r="F9" s="6">
        <v>300</v>
      </c>
      <c r="G9" s="7">
        <v>2500</v>
      </c>
      <c r="H9" s="5" t="s">
        <v>35</v>
      </c>
    </row>
    <row r="10" spans="1:9" ht="30" customHeight="1" x14ac:dyDescent="0.25">
      <c r="A10" s="59"/>
      <c r="B10" s="8" t="s">
        <v>39</v>
      </c>
      <c r="C10" s="9" t="s">
        <v>38</v>
      </c>
      <c r="D10" s="9">
        <v>10000</v>
      </c>
      <c r="E10" s="9">
        <v>200</v>
      </c>
      <c r="F10" s="9">
        <v>200</v>
      </c>
      <c r="G10" s="10">
        <v>2400</v>
      </c>
      <c r="H10" s="8" t="s">
        <v>35</v>
      </c>
    </row>
    <row r="11" spans="1:9" ht="30" customHeight="1" x14ac:dyDescent="0.25">
      <c r="A11" s="58"/>
      <c r="B11" s="5" t="s">
        <v>40</v>
      </c>
      <c r="C11" s="6" t="s">
        <v>38</v>
      </c>
      <c r="D11" s="6">
        <v>15000</v>
      </c>
      <c r="E11" s="6">
        <v>200</v>
      </c>
      <c r="F11" s="6">
        <v>200</v>
      </c>
      <c r="G11" s="7">
        <v>2400</v>
      </c>
      <c r="H11" s="5" t="s">
        <v>35</v>
      </c>
    </row>
    <row r="12" spans="1:9" ht="30" customHeight="1" x14ac:dyDescent="0.25">
      <c r="A12" s="59"/>
      <c r="B12" s="8" t="s">
        <v>41</v>
      </c>
      <c r="C12" s="9" t="s">
        <v>38</v>
      </c>
      <c r="D12" s="9">
        <v>15000</v>
      </c>
      <c r="E12" s="9">
        <v>200</v>
      </c>
      <c r="F12" s="9">
        <v>200</v>
      </c>
      <c r="G12" s="10">
        <v>2400</v>
      </c>
      <c r="H12" s="8" t="s">
        <v>35</v>
      </c>
    </row>
    <row r="13" spans="1:9" ht="30" customHeight="1" x14ac:dyDescent="0.25">
      <c r="A13" s="58"/>
      <c r="B13" s="5" t="s">
        <v>42</v>
      </c>
      <c r="C13" s="6" t="s">
        <v>38</v>
      </c>
      <c r="D13" s="6">
        <v>12000</v>
      </c>
      <c r="E13" s="6">
        <v>200</v>
      </c>
      <c r="F13" s="6">
        <v>200</v>
      </c>
      <c r="G13" s="7">
        <v>2400</v>
      </c>
      <c r="H13" s="5" t="s">
        <v>35</v>
      </c>
    </row>
    <row r="14" spans="1:9" ht="30" customHeight="1" x14ac:dyDescent="0.25">
      <c r="A14" s="59"/>
      <c r="B14" s="8" t="s">
        <v>43</v>
      </c>
      <c r="C14" s="9" t="s">
        <v>38</v>
      </c>
      <c r="D14" s="9">
        <v>18750</v>
      </c>
      <c r="E14" s="9">
        <v>208</v>
      </c>
      <c r="F14" s="9">
        <v>212</v>
      </c>
      <c r="G14" s="10">
        <v>2500</v>
      </c>
      <c r="H14" s="8" t="s">
        <v>35</v>
      </c>
    </row>
    <row r="15" spans="1:9" ht="30" customHeight="1" x14ac:dyDescent="0.25">
      <c r="A15" s="58"/>
      <c r="B15" s="5" t="s">
        <v>44</v>
      </c>
      <c r="C15" s="6" t="s">
        <v>38</v>
      </c>
      <c r="D15" s="6">
        <v>12000</v>
      </c>
      <c r="E15" s="6">
        <v>200</v>
      </c>
      <c r="F15" s="6">
        <v>200</v>
      </c>
      <c r="G15" s="7">
        <v>2400</v>
      </c>
      <c r="H15" s="5" t="s">
        <v>45</v>
      </c>
    </row>
    <row r="16" spans="1:9" ht="30" customHeight="1" x14ac:dyDescent="0.25">
      <c r="A16" s="59"/>
      <c r="B16" s="8" t="s">
        <v>46</v>
      </c>
      <c r="C16" s="9" t="s">
        <v>38</v>
      </c>
      <c r="D16" s="9">
        <v>21000</v>
      </c>
      <c r="E16" s="9">
        <v>208</v>
      </c>
      <c r="F16" s="9">
        <v>208</v>
      </c>
      <c r="G16" s="10">
        <v>2500</v>
      </c>
      <c r="H16" s="8" t="s">
        <v>45</v>
      </c>
    </row>
    <row r="17" spans="1:8" ht="30" customHeight="1" x14ac:dyDescent="0.25">
      <c r="A17" s="58"/>
      <c r="B17" s="5" t="s">
        <v>47</v>
      </c>
      <c r="C17" s="6" t="s">
        <v>38</v>
      </c>
      <c r="D17" s="6">
        <v>10000</v>
      </c>
      <c r="E17" s="6">
        <v>200</v>
      </c>
      <c r="F17" s="6">
        <v>200</v>
      </c>
      <c r="G17" s="7">
        <v>2400</v>
      </c>
      <c r="H17" s="5" t="s">
        <v>35</v>
      </c>
    </row>
    <row r="18" spans="1:8" ht="30" customHeight="1" x14ac:dyDescent="0.25">
      <c r="A18" s="59"/>
      <c r="B18" s="8" t="s">
        <v>48</v>
      </c>
      <c r="C18" s="9" t="s">
        <v>38</v>
      </c>
      <c r="D18" s="9">
        <v>10000</v>
      </c>
      <c r="E18" s="9">
        <v>200</v>
      </c>
      <c r="F18" s="9">
        <v>200</v>
      </c>
      <c r="G18" s="10">
        <v>2400</v>
      </c>
      <c r="H18" s="8" t="s">
        <v>35</v>
      </c>
    </row>
    <row r="19" spans="1:8" ht="30" customHeight="1" x14ac:dyDescent="0.25">
      <c r="A19" s="58"/>
      <c r="B19" s="5" t="s">
        <v>49</v>
      </c>
      <c r="C19" s="6" t="s">
        <v>38</v>
      </c>
      <c r="D19" s="6">
        <v>10000</v>
      </c>
      <c r="E19" s="6">
        <v>200</v>
      </c>
      <c r="F19" s="6">
        <v>200</v>
      </c>
      <c r="G19" s="7">
        <v>2400</v>
      </c>
      <c r="H19" s="5" t="s">
        <v>50</v>
      </c>
    </row>
    <row r="20" spans="1:8" ht="30" customHeight="1" x14ac:dyDescent="0.25">
      <c r="A20" s="59"/>
      <c r="B20" s="8" t="s">
        <v>51</v>
      </c>
      <c r="C20" s="9" t="s">
        <v>38</v>
      </c>
      <c r="D20" s="9">
        <v>10000</v>
      </c>
      <c r="E20" s="9">
        <v>208</v>
      </c>
      <c r="F20" s="9">
        <v>212</v>
      </c>
      <c r="G20" s="10">
        <v>2500</v>
      </c>
      <c r="H20" s="8" t="s">
        <v>35</v>
      </c>
    </row>
    <row r="21" spans="1:8" ht="30" customHeight="1" x14ac:dyDescent="0.25">
      <c r="A21" s="58"/>
      <c r="B21" s="5" t="s">
        <v>52</v>
      </c>
      <c r="C21" s="6" t="s">
        <v>38</v>
      </c>
      <c r="D21" s="6">
        <v>10000</v>
      </c>
      <c r="E21" s="6">
        <v>200</v>
      </c>
      <c r="F21" s="6">
        <v>200</v>
      </c>
      <c r="G21" s="7">
        <v>2400</v>
      </c>
      <c r="H21" s="5" t="s">
        <v>35</v>
      </c>
    </row>
    <row r="22" spans="1:8" ht="30" customHeight="1" x14ac:dyDescent="0.25">
      <c r="A22" s="59"/>
      <c r="B22" s="8" t="s">
        <v>53</v>
      </c>
      <c r="C22" s="9" t="s">
        <v>38</v>
      </c>
      <c r="D22" s="9">
        <v>10000</v>
      </c>
      <c r="E22" s="9">
        <v>200</v>
      </c>
      <c r="F22" s="9">
        <v>200</v>
      </c>
      <c r="G22" s="10">
        <v>2400</v>
      </c>
      <c r="H22" s="8" t="s">
        <v>35</v>
      </c>
    </row>
    <row r="23" spans="1:8" ht="30" customHeight="1" x14ac:dyDescent="0.25">
      <c r="A23" s="58"/>
      <c r="B23" s="5" t="s">
        <v>54</v>
      </c>
      <c r="C23" s="6" t="s">
        <v>38</v>
      </c>
      <c r="D23" s="6">
        <v>10000</v>
      </c>
      <c r="E23" s="6">
        <v>200</v>
      </c>
      <c r="F23" s="6">
        <v>200</v>
      </c>
      <c r="G23" s="7">
        <v>2400</v>
      </c>
      <c r="H23" s="5" t="s">
        <v>35</v>
      </c>
    </row>
    <row r="24" spans="1:8" ht="30" customHeight="1" x14ac:dyDescent="0.25">
      <c r="A24" s="59"/>
      <c r="B24" s="8" t="s">
        <v>55</v>
      </c>
      <c r="C24" s="9" t="s">
        <v>38</v>
      </c>
      <c r="D24" s="9">
        <v>10000</v>
      </c>
      <c r="E24" s="9">
        <v>200</v>
      </c>
      <c r="F24" s="9">
        <v>200</v>
      </c>
      <c r="G24" s="10">
        <v>2400</v>
      </c>
      <c r="H24" s="8" t="s">
        <v>35</v>
      </c>
    </row>
    <row r="25" spans="1:8" ht="30" customHeight="1" x14ac:dyDescent="0.25">
      <c r="A25" s="58"/>
      <c r="B25" s="5" t="s">
        <v>56</v>
      </c>
      <c r="C25" s="6" t="s">
        <v>38</v>
      </c>
      <c r="D25" s="6">
        <v>10000</v>
      </c>
      <c r="E25" s="6">
        <v>200</v>
      </c>
      <c r="F25" s="6">
        <v>200</v>
      </c>
      <c r="G25" s="7">
        <v>2400</v>
      </c>
      <c r="H25" s="5" t="s">
        <v>45</v>
      </c>
    </row>
    <row r="26" spans="1:8" ht="30" customHeight="1" x14ac:dyDescent="0.25">
      <c r="A26" s="59"/>
      <c r="B26" s="8" t="s">
        <v>57</v>
      </c>
      <c r="C26" s="9" t="s">
        <v>38</v>
      </c>
      <c r="D26" s="9">
        <v>10000</v>
      </c>
      <c r="E26" s="9">
        <v>200</v>
      </c>
      <c r="F26" s="9">
        <v>200</v>
      </c>
      <c r="G26" s="10">
        <v>2400</v>
      </c>
      <c r="H26" s="8" t="s">
        <v>35</v>
      </c>
    </row>
    <row r="27" spans="1:8" ht="30" customHeight="1" x14ac:dyDescent="0.25">
      <c r="A27" s="58"/>
      <c r="B27" s="5" t="s">
        <v>58</v>
      </c>
      <c r="C27" s="7" t="s">
        <v>59</v>
      </c>
      <c r="D27" s="6">
        <v>999999999</v>
      </c>
      <c r="E27" s="6">
        <v>0</v>
      </c>
      <c r="F27" s="6">
        <v>0</v>
      </c>
      <c r="G27" s="7">
        <v>0</v>
      </c>
      <c r="H27" s="5" t="s">
        <v>59</v>
      </c>
    </row>
    <row r="28" spans="1:8" ht="30" customHeight="1" x14ac:dyDescent="0.25">
      <c r="A28" s="59"/>
      <c r="B28" s="8" t="s">
        <v>60</v>
      </c>
      <c r="C28" s="10" t="s">
        <v>59</v>
      </c>
      <c r="D28" s="9">
        <v>999999999</v>
      </c>
      <c r="E28" s="9">
        <v>0</v>
      </c>
      <c r="F28" s="9">
        <v>0</v>
      </c>
      <c r="G28" s="10">
        <v>0</v>
      </c>
      <c r="H28" s="8" t="s">
        <v>59</v>
      </c>
    </row>
    <row r="29" spans="1:8" ht="30" customHeight="1" x14ac:dyDescent="0.25">
      <c r="A29" s="58"/>
      <c r="B29" s="5" t="s">
        <v>61</v>
      </c>
      <c r="C29" s="7" t="s">
        <v>59</v>
      </c>
      <c r="D29" s="6">
        <v>999999999</v>
      </c>
      <c r="E29" s="6">
        <v>200</v>
      </c>
      <c r="F29" s="6">
        <v>200</v>
      </c>
      <c r="G29" s="7">
        <v>2400</v>
      </c>
      <c r="H29" s="5" t="s">
        <v>35</v>
      </c>
    </row>
    <row r="30" spans="1:8" ht="30" customHeight="1" x14ac:dyDescent="0.25">
      <c r="A30" s="59"/>
      <c r="B30" s="8" t="s">
        <v>62</v>
      </c>
      <c r="C30" s="10" t="s">
        <v>59</v>
      </c>
      <c r="D30" s="9">
        <v>999999999</v>
      </c>
      <c r="E30" s="9">
        <v>0</v>
      </c>
      <c r="F30" s="9">
        <v>0</v>
      </c>
      <c r="G30" s="10">
        <v>0</v>
      </c>
      <c r="H30" s="8" t="s">
        <v>59</v>
      </c>
    </row>
    <row r="31" spans="1:8" ht="30" customHeight="1" x14ac:dyDescent="0.25">
      <c r="A31" s="58"/>
      <c r="B31" s="5" t="s">
        <v>63</v>
      </c>
      <c r="C31" s="7" t="s">
        <v>59</v>
      </c>
      <c r="D31" s="6">
        <v>999999999</v>
      </c>
      <c r="E31" s="6">
        <v>0</v>
      </c>
      <c r="F31" s="6">
        <v>0</v>
      </c>
      <c r="G31" s="7">
        <v>0</v>
      </c>
      <c r="H31" s="5" t="s">
        <v>59</v>
      </c>
    </row>
    <row r="32" spans="1:8" ht="30" customHeight="1" x14ac:dyDescent="0.25">
      <c r="A32" s="59"/>
      <c r="B32" s="8" t="s">
        <v>64</v>
      </c>
      <c r="C32" s="10" t="s">
        <v>59</v>
      </c>
      <c r="D32" s="9">
        <v>999999999</v>
      </c>
      <c r="E32" s="9">
        <v>0</v>
      </c>
      <c r="F32" s="9">
        <v>0</v>
      </c>
      <c r="G32" s="10">
        <v>0</v>
      </c>
      <c r="H32" s="8" t="s">
        <v>59</v>
      </c>
    </row>
    <row r="33" spans="1:8" ht="30" customHeight="1" x14ac:dyDescent="0.25">
      <c r="A33" s="58"/>
      <c r="B33" s="5" t="s">
        <v>65</v>
      </c>
      <c r="C33" s="7" t="s">
        <v>59</v>
      </c>
      <c r="D33" s="6">
        <v>999999999</v>
      </c>
      <c r="E33" s="6">
        <v>0</v>
      </c>
      <c r="F33" s="6">
        <v>0</v>
      </c>
      <c r="G33" s="7">
        <v>0</v>
      </c>
      <c r="H33" s="5" t="s">
        <v>59</v>
      </c>
    </row>
    <row r="34" spans="1:8" ht="30" customHeight="1" x14ac:dyDescent="0.25">
      <c r="A34" s="59"/>
      <c r="B34" s="8" t="s">
        <v>66</v>
      </c>
      <c r="C34" s="10" t="s">
        <v>59</v>
      </c>
      <c r="D34" s="9">
        <v>999999999</v>
      </c>
      <c r="E34" s="9">
        <v>0</v>
      </c>
      <c r="F34" s="9">
        <v>0</v>
      </c>
      <c r="G34" s="10">
        <v>0</v>
      </c>
      <c r="H34" s="8" t="s">
        <v>59</v>
      </c>
    </row>
    <row r="35" spans="1:8" ht="30" customHeight="1" x14ac:dyDescent="0.25">
      <c r="A35" s="58"/>
      <c r="B35" s="5" t="s">
        <v>67</v>
      </c>
      <c r="C35" s="7" t="s">
        <v>59</v>
      </c>
      <c r="D35" s="6">
        <v>999999999</v>
      </c>
      <c r="E35" s="6">
        <v>0</v>
      </c>
      <c r="F35" s="6">
        <v>0</v>
      </c>
      <c r="G35" s="7">
        <v>0</v>
      </c>
      <c r="H35" s="5" t="s">
        <v>59</v>
      </c>
    </row>
    <row r="36" spans="1:8" ht="30" customHeight="1" x14ac:dyDescent="0.25">
      <c r="A36" s="59"/>
      <c r="B36" s="8" t="s">
        <v>68</v>
      </c>
      <c r="C36" s="10" t="s">
        <v>59</v>
      </c>
      <c r="D36" s="9">
        <v>999999999</v>
      </c>
      <c r="E36" s="9">
        <v>0</v>
      </c>
      <c r="F36" s="9">
        <v>0</v>
      </c>
      <c r="G36" s="10">
        <v>0</v>
      </c>
      <c r="H36" s="8" t="s">
        <v>59</v>
      </c>
    </row>
    <row r="37" spans="1:8" ht="30" customHeight="1" x14ac:dyDescent="0.25">
      <c r="A37" s="58"/>
      <c r="B37" s="5" t="s">
        <v>69</v>
      </c>
      <c r="C37" s="7" t="s">
        <v>59</v>
      </c>
      <c r="D37" s="6">
        <v>999999999</v>
      </c>
      <c r="E37" s="6">
        <v>0</v>
      </c>
      <c r="F37" s="6">
        <v>0</v>
      </c>
      <c r="G37" s="7">
        <v>0</v>
      </c>
      <c r="H37" s="5" t="s">
        <v>59</v>
      </c>
    </row>
    <row r="38" spans="1:8" ht="30" customHeight="1" x14ac:dyDescent="0.25">
      <c r="A38" s="59"/>
      <c r="B38" s="8" t="s">
        <v>70</v>
      </c>
      <c r="C38" s="10" t="s">
        <v>59</v>
      </c>
      <c r="D38" s="9">
        <v>999999999</v>
      </c>
      <c r="E38" s="9">
        <v>0</v>
      </c>
      <c r="F38" s="9">
        <v>0</v>
      </c>
      <c r="G38" s="10">
        <v>0</v>
      </c>
      <c r="H38" s="8" t="s">
        <v>59</v>
      </c>
    </row>
  </sheetData>
  <mergeCells count="3">
    <mergeCell ref="A2:H2"/>
    <mergeCell ref="A3:H3"/>
    <mergeCell ref="A4:H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" sqref="A2:B2"/>
    </sheetView>
  </sheetViews>
  <sheetFormatPr defaultColWidth="8.7109375" defaultRowHeight="15" x14ac:dyDescent="0.25"/>
  <cols>
    <col min="1" max="1" width="2" style="56" customWidth="1"/>
    <col min="2" max="2" width="58.140625" style="56" customWidth="1"/>
    <col min="3" max="3" width="18" style="56" customWidth="1"/>
    <col min="4" max="4" width="54.7109375" style="56" customWidth="1"/>
    <col min="5" max="5" width="3" style="56" customWidth="1"/>
    <col min="6" max="16384" width="8.7109375" style="56"/>
  </cols>
  <sheetData>
    <row r="1" spans="1:4" ht="7.5" customHeight="1" x14ac:dyDescent="0.25"/>
    <row r="2" spans="1:4" ht="39.75" customHeight="1" x14ac:dyDescent="0.25">
      <c r="A2" s="42" t="s">
        <v>0</v>
      </c>
      <c r="B2" s="42"/>
      <c r="C2" s="43" t="s">
        <v>71</v>
      </c>
      <c r="D2" s="43"/>
    </row>
    <row r="3" spans="1:4" ht="21.75" customHeight="1" x14ac:dyDescent="0.25">
      <c r="A3" s="1" t="s">
        <v>72</v>
      </c>
      <c r="B3" s="1"/>
      <c r="C3" s="1"/>
      <c r="D3" s="1"/>
    </row>
    <row r="4" spans="1:4" ht="19.5" customHeight="1" x14ac:dyDescent="0.25">
      <c r="A4" s="41" t="s">
        <v>73</v>
      </c>
      <c r="B4" s="41"/>
      <c r="C4" s="41"/>
      <c r="D4" s="41"/>
    </row>
    <row r="6" spans="1:4" ht="21.75" customHeight="1" x14ac:dyDescent="0.25">
      <c r="A6" s="44" t="s">
        <v>74</v>
      </c>
      <c r="B6" s="44"/>
      <c r="C6" s="44"/>
      <c r="D6" s="44"/>
    </row>
    <row r="7" spans="1:4" ht="19.5" customHeight="1" x14ac:dyDescent="0.25">
      <c r="A7" s="58"/>
      <c r="B7" s="11" t="s">
        <v>75</v>
      </c>
      <c r="C7" s="12" t="s">
        <v>76</v>
      </c>
      <c r="D7" s="13"/>
    </row>
    <row r="8" spans="1:4" ht="33.75" customHeight="1" x14ac:dyDescent="0.25">
      <c r="A8" s="59"/>
      <c r="B8" s="14" t="s">
        <v>77</v>
      </c>
      <c r="C8" s="12" t="s">
        <v>34</v>
      </c>
      <c r="D8" s="15"/>
    </row>
    <row r="9" spans="1:4" ht="32.25" customHeight="1" x14ac:dyDescent="0.25">
      <c r="A9" s="58"/>
      <c r="B9" s="11" t="s">
        <v>78</v>
      </c>
      <c r="C9" s="12" t="s">
        <v>33</v>
      </c>
      <c r="D9" s="13" t="s">
        <v>79</v>
      </c>
    </row>
    <row r="10" spans="1:4" ht="19.5" customHeight="1" x14ac:dyDescent="0.25">
      <c r="A10" s="59"/>
      <c r="B10" s="14" t="s">
        <v>80</v>
      </c>
      <c r="C10" s="12" t="s">
        <v>81</v>
      </c>
      <c r="D10" s="15"/>
    </row>
    <row r="12" spans="1:4" ht="21.75" customHeight="1" x14ac:dyDescent="0.25">
      <c r="A12" s="44" t="s">
        <v>82</v>
      </c>
      <c r="B12" s="44"/>
      <c r="C12" s="44"/>
      <c r="D12" s="44"/>
    </row>
    <row r="13" spans="1:4" ht="19.5" customHeight="1" x14ac:dyDescent="0.25">
      <c r="A13" s="58"/>
      <c r="B13" s="11" t="s">
        <v>83</v>
      </c>
      <c r="C13" s="16">
        <v>50000</v>
      </c>
      <c r="D13" s="13"/>
    </row>
    <row r="14" spans="1:4" ht="25.5" customHeight="1" x14ac:dyDescent="0.25">
      <c r="A14" s="59"/>
      <c r="B14" s="14" t="s">
        <v>84</v>
      </c>
      <c r="C14" s="16">
        <v>0</v>
      </c>
      <c r="D14" s="15" t="s">
        <v>85</v>
      </c>
    </row>
    <row r="15" spans="1:4" ht="19.5" customHeight="1" x14ac:dyDescent="0.25">
      <c r="A15" s="58"/>
      <c r="B15" s="11" t="s">
        <v>86</v>
      </c>
      <c r="C15" s="16">
        <v>20000</v>
      </c>
      <c r="D15" s="13"/>
    </row>
    <row r="16" spans="1:4" ht="19.5" customHeight="1" x14ac:dyDescent="0.25">
      <c r="A16" s="59"/>
      <c r="B16" s="14" t="s">
        <v>87</v>
      </c>
      <c r="C16" s="16">
        <v>15000</v>
      </c>
      <c r="D16" s="15"/>
    </row>
    <row r="17" spans="1:4" ht="19.5" customHeight="1" x14ac:dyDescent="0.25">
      <c r="A17" s="58"/>
      <c r="B17" s="11" t="s">
        <v>88</v>
      </c>
      <c r="C17" s="16">
        <v>0</v>
      </c>
      <c r="D17" s="13"/>
    </row>
    <row r="18" spans="1:4" ht="25.5" customHeight="1" x14ac:dyDescent="0.25">
      <c r="A18" s="59"/>
      <c r="B18" s="14" t="s">
        <v>89</v>
      </c>
      <c r="C18" s="16">
        <v>0</v>
      </c>
      <c r="D18" s="15" t="s">
        <v>90</v>
      </c>
    </row>
    <row r="19" spans="1:4" ht="19.5" customHeight="1" x14ac:dyDescent="0.25">
      <c r="A19" s="58"/>
      <c r="B19" s="17" t="s">
        <v>91</v>
      </c>
      <c r="C19" s="18">
        <f>C13+C14+C15+C16</f>
        <v>85000</v>
      </c>
      <c r="D19" s="13"/>
    </row>
    <row r="20" spans="1:4" ht="25.5" customHeight="1" x14ac:dyDescent="0.25">
      <c r="A20" s="58"/>
      <c r="B20" s="17" t="s">
        <v>92</v>
      </c>
      <c r="C20" s="18">
        <f>C19*12+C17+C18</f>
        <v>1020000</v>
      </c>
      <c r="D20" s="13" t="s">
        <v>93</v>
      </c>
    </row>
    <row r="22" spans="1:4" ht="27.75" customHeight="1" x14ac:dyDescent="0.25">
      <c r="A22" s="45" t="s">
        <v>94</v>
      </c>
      <c r="B22" s="45"/>
      <c r="C22" s="45"/>
      <c r="D22" s="45"/>
    </row>
    <row r="23" spans="1:4" ht="38.25" customHeight="1" x14ac:dyDescent="0.25">
      <c r="A23" s="58"/>
      <c r="B23" s="11" t="s">
        <v>95</v>
      </c>
      <c r="C23" s="16">
        <v>0</v>
      </c>
      <c r="D23" s="13" t="s">
        <v>96</v>
      </c>
    </row>
    <row r="24" spans="1:4" ht="30" customHeight="1" x14ac:dyDescent="0.25">
      <c r="A24" s="59"/>
      <c r="B24" s="14" t="s">
        <v>97</v>
      </c>
      <c r="C24" s="12" t="s">
        <v>98</v>
      </c>
      <c r="D24" s="15" t="s">
        <v>99</v>
      </c>
    </row>
    <row r="25" spans="1:4" ht="19.5" customHeight="1" x14ac:dyDescent="0.25">
      <c r="A25" s="59"/>
      <c r="B25" s="14" t="s">
        <v>100</v>
      </c>
      <c r="C25" s="19">
        <f>C23*12</f>
        <v>0</v>
      </c>
      <c r="D25" s="15"/>
    </row>
    <row r="27" spans="1:4" ht="21.75" customHeight="1" x14ac:dyDescent="0.25">
      <c r="A27" s="44" t="s">
        <v>101</v>
      </c>
      <c r="B27" s="44"/>
      <c r="C27" s="44"/>
      <c r="D27" s="44"/>
    </row>
    <row r="28" spans="1:4" ht="42" customHeight="1" x14ac:dyDescent="0.25">
      <c r="A28" s="45" t="s">
        <v>102</v>
      </c>
      <c r="B28" s="45"/>
      <c r="C28" s="45"/>
      <c r="D28" s="45"/>
    </row>
    <row r="29" spans="1:4" ht="26.25" customHeight="1" x14ac:dyDescent="0.25">
      <c r="A29" s="58"/>
      <c r="B29" s="11" t="s">
        <v>103</v>
      </c>
      <c r="C29" s="16">
        <v>25000</v>
      </c>
      <c r="D29" s="13"/>
    </row>
    <row r="30" spans="1:4" ht="24.75" customHeight="1" x14ac:dyDescent="0.25">
      <c r="A30" s="59"/>
      <c r="B30" s="14" t="s">
        <v>104</v>
      </c>
      <c r="C30" s="20">
        <v>0.12</v>
      </c>
      <c r="D30" s="15"/>
    </row>
    <row r="31" spans="1:4" ht="22.5" customHeight="1" x14ac:dyDescent="0.25">
      <c r="A31" s="59"/>
      <c r="B31" s="14" t="s">
        <v>105</v>
      </c>
      <c r="C31" s="19">
        <f>MIN(C13+C14,C29)</f>
        <v>25000</v>
      </c>
      <c r="D31" s="15"/>
    </row>
    <row r="32" spans="1:4" ht="19.5" customHeight="1" x14ac:dyDescent="0.25">
      <c r="A32" s="58"/>
      <c r="B32" s="17" t="s">
        <v>106</v>
      </c>
      <c r="C32" s="18">
        <f>ROUND(C31*C30,0)</f>
        <v>3000</v>
      </c>
      <c r="D32" s="13"/>
    </row>
    <row r="33" spans="1:4" ht="29.25" customHeight="1" x14ac:dyDescent="0.25">
      <c r="A33" s="59"/>
      <c r="B33" s="14" t="s">
        <v>107</v>
      </c>
      <c r="C33" s="19">
        <f>ROUND(C31*0.12,0)</f>
        <v>3000</v>
      </c>
      <c r="D33" s="15"/>
    </row>
    <row r="34" spans="1:4" ht="25.5" customHeight="1" x14ac:dyDescent="0.25">
      <c r="A34" s="59"/>
      <c r="B34" s="14" t="s">
        <v>108</v>
      </c>
      <c r="C34" s="19">
        <f>ROUND(MIN(C13+C14,15000)*0.0833,0)</f>
        <v>1250</v>
      </c>
      <c r="D34" s="15" t="s">
        <v>109</v>
      </c>
    </row>
    <row r="36" spans="1:4" ht="21.75" customHeight="1" x14ac:dyDescent="0.25">
      <c r="A36" s="44" t="s">
        <v>110</v>
      </c>
      <c r="B36" s="44"/>
      <c r="C36" s="44"/>
      <c r="D36" s="44"/>
    </row>
    <row r="37" spans="1:4" ht="19.5" customHeight="1" x14ac:dyDescent="0.25">
      <c r="A37" s="59"/>
      <c r="B37" s="14" t="s">
        <v>111</v>
      </c>
      <c r="C37" s="21" t="str">
        <f>IF(C9="Maharashtra",C8,"General")</f>
        <v>Male</v>
      </c>
      <c r="D37" s="15"/>
    </row>
    <row r="38" spans="1:4" ht="19.5" customHeight="1" x14ac:dyDescent="0.25">
      <c r="A38" s="60"/>
      <c r="B38" s="22" t="s">
        <v>112</v>
      </c>
      <c r="C38" s="23">
        <f>IF(AND(C9="Maharashtra",C8="Male"),1,0)</f>
        <v>1</v>
      </c>
      <c r="D38" s="24"/>
    </row>
    <row r="39" spans="1:4" ht="19.5" customHeight="1" x14ac:dyDescent="0.25">
      <c r="A39" s="59"/>
      <c r="B39" s="14" t="s">
        <v>113</v>
      </c>
      <c r="C39" s="19">
        <f>SUMPRODUCT(('🗺️ State PT Reference'!$B$7:$B$38=C9)*('🗺️ State PT Reference'!$C$7:$C$38=C37)*'🗺️ State PT Reference'!$D$7:$D$38)</f>
        <v>10000</v>
      </c>
      <c r="D39" s="15"/>
    </row>
    <row r="40" spans="1:4" ht="19.5" customHeight="1" x14ac:dyDescent="0.25">
      <c r="A40" s="59"/>
      <c r="B40" s="14" t="s">
        <v>114</v>
      </c>
      <c r="C40" s="19">
        <f>SUMPRODUCT(('🗺️ State PT Reference'!$B$7:$B$38=C9)*('🗺️ State PT Reference'!$C$7:$C$38=C37)*'🗺️ State PT Reference'!$E$7:$E$38)</f>
        <v>200</v>
      </c>
      <c r="D40" s="15"/>
    </row>
    <row r="41" spans="1:4" ht="19.5" customHeight="1" x14ac:dyDescent="0.25">
      <c r="A41" s="58"/>
      <c r="B41" s="25" t="s">
        <v>115</v>
      </c>
      <c r="C41" s="46">
        <f>IF(C38=1,IF(C19&lt;=7500,0,IF(C19&lt;=10000,175,200)),IF(C19&lt;=C39,0,C40))</f>
        <v>200</v>
      </c>
      <c r="D41" s="46"/>
    </row>
    <row r="42" spans="1:4" ht="19.5" customHeight="1" x14ac:dyDescent="0.25">
      <c r="A42" s="59"/>
      <c r="B42" s="14" t="s">
        <v>116</v>
      </c>
      <c r="C42" s="19">
        <f>SUMPRODUCT(('🗺️ State PT Reference'!$B$7:$B$38=C9)*('🗺️ State PT Reference'!$C$7:$C$38=C37)*'🗺️ State PT Reference'!$F$7:$F$38)</f>
        <v>300</v>
      </c>
      <c r="D42" s="15"/>
    </row>
    <row r="43" spans="1:4" ht="19.5" customHeight="1" x14ac:dyDescent="0.25">
      <c r="A43" s="58"/>
      <c r="B43" s="25" t="s">
        <v>117</v>
      </c>
      <c r="C43" s="46">
        <f>IF(C41=0,0,IF(C38=1,C41*11+IF(C19&gt;10000,300,C41),C41*11+C42))</f>
        <v>2500</v>
      </c>
      <c r="D43" s="46"/>
    </row>
    <row r="44" spans="1:4" ht="21.75" customHeight="1" x14ac:dyDescent="0.25">
      <c r="A44" s="59"/>
      <c r="B44" s="47" t="s">
        <v>118</v>
      </c>
      <c r="C44" s="47"/>
      <c r="D44" s="47"/>
    </row>
    <row r="46" spans="1:4" ht="21.75" customHeight="1" x14ac:dyDescent="0.25">
      <c r="A46" s="44" t="s">
        <v>119</v>
      </c>
      <c r="B46" s="44"/>
      <c r="C46" s="44"/>
      <c r="D46" s="44"/>
    </row>
    <row r="47" spans="1:4" ht="27.75" customHeight="1" x14ac:dyDescent="0.25">
      <c r="A47" s="45" t="s">
        <v>120</v>
      </c>
      <c r="B47" s="45"/>
      <c r="C47" s="45"/>
      <c r="D47" s="45"/>
    </row>
    <row r="48" spans="1:4" ht="19.5" customHeight="1" x14ac:dyDescent="0.25">
      <c r="A48" s="58"/>
      <c r="B48" s="11" t="s">
        <v>121</v>
      </c>
      <c r="C48" s="16">
        <v>0</v>
      </c>
      <c r="D48" s="13"/>
    </row>
    <row r="49" spans="1:4" ht="19.5" customHeight="1" x14ac:dyDescent="0.25">
      <c r="A49" s="59"/>
      <c r="B49" s="14" t="s">
        <v>122</v>
      </c>
      <c r="C49" s="12" t="s">
        <v>62</v>
      </c>
      <c r="D49" s="15"/>
    </row>
    <row r="50" spans="1:4" ht="33.75" customHeight="1" x14ac:dyDescent="0.25">
      <c r="A50" s="58"/>
      <c r="B50" s="11" t="s">
        <v>123</v>
      </c>
      <c r="C50" s="16">
        <v>0</v>
      </c>
      <c r="D50" s="13" t="s">
        <v>124</v>
      </c>
    </row>
    <row r="51" spans="1:4" ht="39" customHeight="1" x14ac:dyDescent="0.25">
      <c r="A51" s="59"/>
      <c r="B51" s="14" t="s">
        <v>125</v>
      </c>
      <c r="C51" s="16">
        <v>0</v>
      </c>
      <c r="D51" s="15" t="s">
        <v>126</v>
      </c>
    </row>
    <row r="52" spans="1:4" ht="19.5" customHeight="1" x14ac:dyDescent="0.25">
      <c r="A52" s="59"/>
      <c r="B52" s="14" t="s">
        <v>127</v>
      </c>
      <c r="C52" s="26">
        <f>IF(OR(C49="Delhi",C49="Mumbai",C49="Kolkata",C49="Chennai",C49="Hyderabad",C49="Pune",C49="Ahmedabad",C49="Bengaluru"),0.5,0.4)</f>
        <v>0.5</v>
      </c>
      <c r="D52" s="15"/>
    </row>
    <row r="53" spans="1:4" ht="19.5" customHeight="1" x14ac:dyDescent="0.25">
      <c r="A53" s="59"/>
      <c r="B53" s="14" t="s">
        <v>128</v>
      </c>
      <c r="C53" s="19">
        <f>C15*12</f>
        <v>240000</v>
      </c>
      <c r="D53" s="15"/>
    </row>
    <row r="54" spans="1:4" ht="19.5" customHeight="1" x14ac:dyDescent="0.25">
      <c r="A54" s="59"/>
      <c r="B54" s="14" t="s">
        <v>129</v>
      </c>
      <c r="C54" s="19">
        <f>MAX(0,(C48*12)-(0.1*(C13+C14)*12))</f>
        <v>0</v>
      </c>
      <c r="D54" s="15"/>
    </row>
    <row r="55" spans="1:4" ht="19.5" customHeight="1" x14ac:dyDescent="0.25">
      <c r="A55" s="59"/>
      <c r="B55" s="14" t="s">
        <v>130</v>
      </c>
      <c r="C55" s="19">
        <f>(C13+C14)*12*C52</f>
        <v>300000</v>
      </c>
      <c r="D55" s="15"/>
    </row>
    <row r="56" spans="1:4" ht="19.5" customHeight="1" x14ac:dyDescent="0.25">
      <c r="A56" s="58"/>
      <c r="B56" s="17" t="s">
        <v>131</v>
      </c>
      <c r="C56" s="18">
        <f>IF(C10="Old Regime",MIN(C53,C54,C55),0)</f>
        <v>0</v>
      </c>
      <c r="D56" s="13"/>
    </row>
    <row r="57" spans="1:4" ht="19.5" customHeight="1" x14ac:dyDescent="0.25">
      <c r="A57" s="58"/>
      <c r="B57" s="17" t="s">
        <v>132</v>
      </c>
      <c r="C57" s="18">
        <f>IF(C10="Old Regime",MIN(C51,C18),0)</f>
        <v>0</v>
      </c>
      <c r="D57" s="13"/>
    </row>
    <row r="59" spans="1:4" ht="21.75" customHeight="1" x14ac:dyDescent="0.25">
      <c r="A59" s="44" t="s">
        <v>133</v>
      </c>
      <c r="B59" s="44"/>
      <c r="C59" s="44"/>
      <c r="D59" s="44"/>
    </row>
    <row r="60" spans="1:4" ht="38.25" customHeight="1" x14ac:dyDescent="0.25">
      <c r="A60" s="58"/>
      <c r="B60" s="11" t="s">
        <v>134</v>
      </c>
      <c r="C60" s="16">
        <v>75000</v>
      </c>
      <c r="D60" s="13" t="s">
        <v>135</v>
      </c>
    </row>
    <row r="61" spans="1:4" ht="30" customHeight="1" x14ac:dyDescent="0.25">
      <c r="A61" s="59"/>
      <c r="B61" s="14" t="s">
        <v>136</v>
      </c>
      <c r="C61" s="19">
        <f>IF(C10="New Regime",0.14,IF(C24="Yes",0.14,0.1))*(C13+C14)*12</f>
        <v>84000.000000000015</v>
      </c>
      <c r="D61" s="15"/>
    </row>
    <row r="62" spans="1:4" ht="33" customHeight="1" x14ac:dyDescent="0.25">
      <c r="A62" s="58"/>
      <c r="B62" s="17" t="s">
        <v>137</v>
      </c>
      <c r="C62" s="18">
        <f>MIN(C25,C61)</f>
        <v>0</v>
      </c>
      <c r="D62" s="13" t="s">
        <v>138</v>
      </c>
    </row>
    <row r="63" spans="1:4" ht="25.5" customHeight="1" x14ac:dyDescent="0.25">
      <c r="A63" s="61"/>
      <c r="B63" s="27" t="s">
        <v>139</v>
      </c>
      <c r="C63" s="28">
        <f>MAX(0,C20+C25-C56-C57-C60-C62-IF(C10="Old Regime",MIN(C50,150000),0))</f>
        <v>945000</v>
      </c>
      <c r="D63" s="29" t="s">
        <v>140</v>
      </c>
    </row>
    <row r="64" spans="1:4" ht="19.5" customHeight="1" x14ac:dyDescent="0.25">
      <c r="A64" s="58"/>
      <c r="B64" s="17" t="s">
        <v>141</v>
      </c>
      <c r="C64" s="18">
        <f>IF(C10="New Regime",IF(C63&lt;=400000,0,IF(C63&lt;=800000,(C63-400000)*0.05,IF(C63&lt;=1200000,20000+(C63-800000)*0.1,IF(C63&lt;=1600000,60000+(C63-1200000)*0.15,IF(C63&lt;=2000000,120000+(C63-1600000)*0.2,IF(C63&lt;=2400000,200000+(C63-2000000)*0.25,300000+(C63-2400000)*0.3)))))),IF(C7="Super Senior Citizen (80+ yrs)",IF(C63&lt;=500000,0,IF(C63&lt;=1000000,(C63-500000)*0.2,100000+(C63-1000000)*0.3)),IF(C7="Senior Citizen (60-79 yrs)",IF(C63&lt;=300000,0,IF(C63&lt;=500000,(C63-300000)*0.05,IF(C63&lt;=1000000,10000+(C63-500000)*0.2,110000+(C63-1000000)*0.3))),IF(C63&lt;=250000,0,IF(C63&lt;=500000,(C63-250000)*0.05,IF(C63&lt;=1000000,12500+(C63-500000)*0.2,112500+(C63-1000000)*0.3))))))</f>
        <v>34500</v>
      </c>
      <c r="D64" s="13"/>
    </row>
    <row r="65" spans="1:4" ht="19.5" customHeight="1" x14ac:dyDescent="0.25">
      <c r="A65" s="59"/>
      <c r="B65" s="14" t="s">
        <v>142</v>
      </c>
      <c r="C65" s="19">
        <f>IF(C10="New Regime",IF(C63&lt;=1200000,MIN(C64,60000),0),IF(C63&lt;=500000,MIN(C64,12500),0))</f>
        <v>34500</v>
      </c>
      <c r="D65" s="15"/>
    </row>
    <row r="66" spans="1:4" ht="19.5" customHeight="1" x14ac:dyDescent="0.25">
      <c r="A66" s="62"/>
      <c r="B66" s="30" t="s">
        <v>143</v>
      </c>
      <c r="C66" s="31">
        <f>IF(C10="New Regime",IF(AND(C63&gt;1200000,C63&lt;=1275000),MAX(0,(C64-C65)-(C63-1200000)),0),IF(AND(C63&gt;500000,C63&lt;=510000),MAX(0,(C64-C65)-(C63-500000)),0))</f>
        <v>0</v>
      </c>
      <c r="D66" s="32"/>
    </row>
    <row r="67" spans="1:4" ht="19.5" customHeight="1" x14ac:dyDescent="0.25">
      <c r="A67" s="59"/>
      <c r="B67" s="33" t="s">
        <v>144</v>
      </c>
      <c r="C67" s="34">
        <f>MAX(0,C64-C65-C66)</f>
        <v>0</v>
      </c>
      <c r="D67" s="15"/>
    </row>
    <row r="68" spans="1:4" ht="19.5" customHeight="1" x14ac:dyDescent="0.25">
      <c r="A68" s="58"/>
      <c r="B68" s="11" t="s">
        <v>145</v>
      </c>
      <c r="C68" s="35">
        <f>IF(C10="New Regime",IF(C63&gt;20000000,C67*0.25,IF(C63&gt;10000000,C67*0.15,IF(C63&gt;5000000,C67*0.1,0))),IF(C63&gt;50000000,C67*0.37,IF(C63&gt;20000000,C67*0.25,IF(C63&gt;10000000,C67*0.15,IF(C63&gt;5000000,C67*0.1,0)))))</f>
        <v>0</v>
      </c>
      <c r="D68" s="13"/>
    </row>
    <row r="69" spans="1:4" ht="19.5" customHeight="1" x14ac:dyDescent="0.25">
      <c r="A69" s="62"/>
      <c r="B69" s="30" t="s">
        <v>146</v>
      </c>
      <c r="C69" s="31">
        <f>IF(C10="New Regime",IF(C63&lt;=5000000,0,IF(C63&lt;=10000000,MAX(0,(300000+(C63-2400000)*0.3)*1.1-(300000+(5000000-2400000)*0.3)*1-(C63-5000000)),IF(C63&lt;=20000000,MAX(0,(300000+(C63-2400000)*0.3)*1.15-(300000+(10000000-2400000)*0.3)*1.1-(C63-10000000)),MAX(0,(300000+(C63-2400000)*0.3)*1.25-(300000+(20000000-2400000)*0.3)*1.15-(C63-20000000))))),IF(C63&lt;=5000000,0,IF(C63&lt;=10000000,MAX(0,(IF(C7="Super Senior Citizen (80+ yrs)",100000,IF(C7="Senior Citizen (60-79 yrs)",110000,112500))+(C63-1000000)*0.3)*1.1-(IF(C7="Super Senior Citizen (80+ yrs)",100000,IF(C7="Senior Citizen (60-79 yrs)",110000,112500))+(5000000-1000000)*0.3)*1-(C63-5000000)),IF(C63&lt;=20000000,MAX(0,(IF(C7="Super Senior Citizen (80+ yrs)",100000,IF(C7="Senior Citizen (60-79 yrs)",110000,112500))+(C63-1000000)*0.3)*1.15-(IF(C7="Super Senior Citizen (80+ yrs)",100000,IF(C7="Senior Citizen (60-79 yrs)",110000,112500))+(10000000-1000000)*0.3)*1.1-(C63-10000000)),IF(C63&lt;=50000000,MAX(0,(IF(C7="Super Senior Citizen (80+ yrs)",100000,IF(C7="Senior Citizen (60-79 yrs)",110000,112500))+(C63-1000000)*0.3)*1.25-(IF(C7="Super Senior Citizen (80+ yrs)",100000,IF(C7="Senior Citizen (60-79 yrs)",110000,112500))+(20000000-1000000)*0.3)*1.15-(C63-20000000)),MAX(0,(IF(C7="Super Senior Citizen (80+ yrs)",100000,IF(C7="Senior Citizen (60-79 yrs)",110000,112500))+(C63-1000000)*0.3)*1.37-(IF(C7="Super Senior Citizen (80+ yrs)",100000,IF(C7="Senior Citizen (60-79 yrs)",110000,112500))+(50000000-1000000)*0.3)*1.25-(C63-50000000)))))))</f>
        <v>0</v>
      </c>
      <c r="D69" s="32"/>
    </row>
    <row r="70" spans="1:4" ht="19.5" customHeight="1" x14ac:dyDescent="0.25">
      <c r="A70" s="58"/>
      <c r="B70" s="11" t="s">
        <v>147</v>
      </c>
      <c r="C70" s="35">
        <f>MAX(0,C68-C69)</f>
        <v>0</v>
      </c>
      <c r="D70" s="13"/>
    </row>
    <row r="71" spans="1:4" ht="19.5" customHeight="1" x14ac:dyDescent="0.25">
      <c r="A71" s="59"/>
      <c r="B71" s="33" t="s">
        <v>148</v>
      </c>
      <c r="C71" s="34">
        <f>C67+C70</f>
        <v>0</v>
      </c>
      <c r="D71" s="15"/>
    </row>
    <row r="72" spans="1:4" ht="19.5" customHeight="1" x14ac:dyDescent="0.25">
      <c r="A72" s="58"/>
      <c r="B72" s="11" t="s">
        <v>149</v>
      </c>
      <c r="C72" s="35">
        <f>C71*0.04</f>
        <v>0</v>
      </c>
      <c r="D72" s="13"/>
    </row>
    <row r="74" spans="1:4" ht="21.75" customHeight="1" x14ac:dyDescent="0.25">
      <c r="A74" s="57"/>
      <c r="B74" s="48" t="s">
        <v>150</v>
      </c>
      <c r="C74" s="48"/>
      <c r="D74" s="36">
        <f>ROUND((C71+C72)/10,0)*10</f>
        <v>0</v>
      </c>
    </row>
    <row r="76" spans="1:4" ht="21.75" customHeight="1" x14ac:dyDescent="0.25">
      <c r="A76" s="44" t="s">
        <v>151</v>
      </c>
      <c r="B76" s="44"/>
      <c r="C76" s="44"/>
      <c r="D76" s="44"/>
    </row>
    <row r="77" spans="1:4" ht="19.5" customHeight="1" x14ac:dyDescent="0.25">
      <c r="A77" s="59"/>
      <c r="B77" s="14" t="s">
        <v>152</v>
      </c>
      <c r="C77" s="19">
        <f>ROUND(D74/12,0)</f>
        <v>0</v>
      </c>
      <c r="D77" s="15"/>
    </row>
    <row r="78" spans="1:4" ht="19.5" customHeight="1" x14ac:dyDescent="0.25">
      <c r="A78" s="59"/>
      <c r="B78" s="14" t="s">
        <v>153</v>
      </c>
      <c r="C78" s="19">
        <f>C19</f>
        <v>85000</v>
      </c>
      <c r="D78" s="15"/>
    </row>
    <row r="79" spans="1:4" ht="19.5" customHeight="1" x14ac:dyDescent="0.25">
      <c r="A79" s="59"/>
      <c r="B79" s="14" t="s">
        <v>154</v>
      </c>
      <c r="C79" s="19">
        <f>C32</f>
        <v>3000</v>
      </c>
      <c r="D79" s="15"/>
    </row>
    <row r="80" spans="1:4" ht="19.5" customHeight="1" x14ac:dyDescent="0.25">
      <c r="A80" s="59"/>
      <c r="B80" s="14" t="s">
        <v>155</v>
      </c>
      <c r="C80" s="19">
        <f>C41</f>
        <v>200</v>
      </c>
      <c r="D80" s="15"/>
    </row>
    <row r="81" spans="1:4" ht="19.5" customHeight="1" x14ac:dyDescent="0.25">
      <c r="A81" s="59"/>
      <c r="B81" s="14" t="s">
        <v>156</v>
      </c>
      <c r="C81" s="19">
        <f>C77</f>
        <v>0</v>
      </c>
      <c r="D81" s="15"/>
    </row>
    <row r="83" spans="1:4" ht="27.75" customHeight="1" x14ac:dyDescent="0.25">
      <c r="A83" s="57"/>
      <c r="B83" s="49" t="s">
        <v>157</v>
      </c>
      <c r="C83" s="49"/>
      <c r="D83" s="37">
        <f>C78-C79-C80-C81</f>
        <v>81800</v>
      </c>
    </row>
    <row r="84" spans="1:4" ht="19.5" customHeight="1" x14ac:dyDescent="0.25">
      <c r="A84" s="63"/>
      <c r="B84" s="38" t="s">
        <v>158</v>
      </c>
      <c r="C84" s="39">
        <f>(C20)-(C32*12)-(C43)-(D74)</f>
        <v>981500</v>
      </c>
      <c r="D84" s="40"/>
    </row>
    <row r="86" spans="1:4" ht="21.75" customHeight="1" x14ac:dyDescent="0.25">
      <c r="A86" s="44" t="s">
        <v>159</v>
      </c>
      <c r="B86" s="44"/>
      <c r="C86" s="44"/>
      <c r="D86" s="44"/>
    </row>
    <row r="87" spans="1:4" ht="45.75" customHeight="1" x14ac:dyDescent="0.25">
      <c r="B87" s="50" t="s">
        <v>160</v>
      </c>
      <c r="C87" s="50"/>
      <c r="D87" s="50"/>
    </row>
    <row r="88" spans="1:4" ht="45.75" customHeight="1" x14ac:dyDescent="0.25">
      <c r="B88" s="51" t="s">
        <v>161</v>
      </c>
      <c r="C88" s="51"/>
      <c r="D88" s="51"/>
    </row>
    <row r="89" spans="1:4" ht="45.75" customHeight="1" x14ac:dyDescent="0.25">
      <c r="B89" s="50" t="s">
        <v>162</v>
      </c>
      <c r="C89" s="50"/>
      <c r="D89" s="50"/>
    </row>
    <row r="90" spans="1:4" ht="45.75" customHeight="1" x14ac:dyDescent="0.25">
      <c r="B90" s="51" t="s">
        <v>163</v>
      </c>
      <c r="C90" s="51"/>
      <c r="D90" s="51"/>
    </row>
    <row r="91" spans="1:4" ht="45.75" customHeight="1" x14ac:dyDescent="0.25">
      <c r="B91" s="52" t="s">
        <v>164</v>
      </c>
      <c r="C91" s="52"/>
      <c r="D91" s="52"/>
    </row>
    <row r="92" spans="1:4" ht="45.75" customHeight="1" x14ac:dyDescent="0.25">
      <c r="B92" s="53" t="s">
        <v>165</v>
      </c>
      <c r="C92" s="53"/>
      <c r="D92" s="53"/>
    </row>
    <row r="93" spans="1:4" ht="45.75" customHeight="1" x14ac:dyDescent="0.25">
      <c r="B93" s="50" t="s">
        <v>166</v>
      </c>
      <c r="C93" s="50"/>
      <c r="D93" s="50"/>
    </row>
    <row r="94" spans="1:4" ht="45.75" customHeight="1" x14ac:dyDescent="0.25">
      <c r="B94" s="53" t="s">
        <v>167</v>
      </c>
      <c r="C94" s="53"/>
      <c r="D94" s="53"/>
    </row>
    <row r="95" spans="1:4" ht="45.75" customHeight="1" x14ac:dyDescent="0.25">
      <c r="B95" s="52" t="s">
        <v>168</v>
      </c>
      <c r="C95" s="52"/>
      <c r="D95" s="52"/>
    </row>
    <row r="97" spans="1:4" ht="21.75" customHeight="1" x14ac:dyDescent="0.25">
      <c r="A97" s="3" t="s">
        <v>22</v>
      </c>
      <c r="B97" s="3"/>
      <c r="C97" s="3"/>
      <c r="D97" s="3"/>
    </row>
  </sheetData>
  <mergeCells count="30">
    <mergeCell ref="B92:D92"/>
    <mergeCell ref="B93:D93"/>
    <mergeCell ref="B94:D94"/>
    <mergeCell ref="B95:D95"/>
    <mergeCell ref="A97:D97"/>
    <mergeCell ref="B87:D87"/>
    <mergeCell ref="B88:D88"/>
    <mergeCell ref="B89:D89"/>
    <mergeCell ref="B90:D90"/>
    <mergeCell ref="B91:D91"/>
    <mergeCell ref="A59:D59"/>
    <mergeCell ref="B74:C74"/>
    <mergeCell ref="A76:D76"/>
    <mergeCell ref="B83:C83"/>
    <mergeCell ref="A86:D86"/>
    <mergeCell ref="C41:D41"/>
    <mergeCell ref="C43:D43"/>
    <mergeCell ref="B44:D44"/>
    <mergeCell ref="A46:D46"/>
    <mergeCell ref="A47:D47"/>
    <mergeCell ref="A12:D12"/>
    <mergeCell ref="A22:D22"/>
    <mergeCell ref="A27:D27"/>
    <mergeCell ref="A28:D28"/>
    <mergeCell ref="A36:D36"/>
    <mergeCell ref="A2:B2"/>
    <mergeCell ref="C2:D2"/>
    <mergeCell ref="A3:D3"/>
    <mergeCell ref="A4:D4"/>
    <mergeCell ref="A6:D6"/>
  </mergeCells>
  <dataValidations count="6">
    <dataValidation type="list" sqref="C7" xr:uid="{00000000-0002-0000-0200-000000000000}">
      <formula1>"Below 60 yrs,Senior Citizen (60-79 yrs),Super Senior Citizen (80+ yrs)"</formula1>
      <formula2>0</formula2>
    </dataValidation>
    <dataValidation type="list" sqref="C8" xr:uid="{00000000-0002-0000-0200-000001000000}">
      <formula1>"Male,Female"</formula1>
      <formula2>0</formula2>
    </dataValidation>
    <dataValidation type="list" sqref="C9" xr:uid="{00000000-0002-0000-0200-000002000000}">
      <formula1>"Maharashtra,Karnataka,West Bengal,Andhra Pradesh,Telangana,Gujarat,Madhya Pradesh,Kerala,Tamil Nadu (Chennai),Assam,Bihar,Jharkhand,Manipur,Meghalaya,Tripura,Mizoram,Nagaland,Puducherry,Sikkim,Odisha,Chhattisgarh,Punjab,Delhi,Uttar Pradesh,Haryana,Rajasth"</formula1>
      <formula2>0</formula2>
    </dataValidation>
    <dataValidation type="list" sqref="C10" xr:uid="{00000000-0002-0000-0200-000003000000}">
      <formula1>"New Regime,Old Regime"</formula1>
      <formula2>0</formula2>
    </dataValidation>
    <dataValidation type="list" sqref="C24" xr:uid="{00000000-0002-0000-0200-000004000000}">
      <formula1>"Yes,No"</formula1>
      <formula2>0</formula2>
    </dataValidation>
    <dataValidation type="list" sqref="C49" xr:uid="{00000000-0002-0000-0200-000005000000}">
      <formula1>"Delhi,Mumbai,Kolkata,Chennai,Hyderabad,Pune,Ahmedabad,Bengaluru,Other"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"/>
  <sheetViews>
    <sheetView showGridLines="0" tabSelected="1" zoomScaleNormal="100" workbookViewId="0">
      <selection sqref="A1:XFD1048576"/>
    </sheetView>
  </sheetViews>
  <sheetFormatPr defaultColWidth="8.7109375" defaultRowHeight="15" x14ac:dyDescent="0.25"/>
  <cols>
    <col min="1" max="1" width="4" style="56" customWidth="1"/>
    <col min="2" max="2" width="100" style="56" customWidth="1"/>
    <col min="3" max="3" width="4" style="56" customWidth="1"/>
    <col min="4" max="16384" width="8.7109375" style="56"/>
  </cols>
  <sheetData>
    <row r="1" spans="1:3" ht="30" customHeight="1" x14ac:dyDescent="0.25">
      <c r="A1" s="54" t="s">
        <v>169</v>
      </c>
      <c r="B1" s="54"/>
      <c r="C1" s="54"/>
    </row>
    <row r="2" spans="1:3" ht="7.5" customHeight="1" x14ac:dyDescent="0.25"/>
    <row r="3" spans="1:3" ht="30" customHeight="1" x14ac:dyDescent="0.25">
      <c r="A3" s="64"/>
      <c r="B3" s="83" t="s">
        <v>170</v>
      </c>
      <c r="C3" s="64"/>
    </row>
    <row r="4" spans="1:3" x14ac:dyDescent="0.25">
      <c r="A4" s="64"/>
      <c r="B4" s="64"/>
      <c r="C4" s="64"/>
    </row>
    <row r="5" spans="1:3" ht="43.5" customHeight="1" x14ac:dyDescent="0.25">
      <c r="A5" s="64"/>
      <c r="B5" s="82" t="s">
        <v>171</v>
      </c>
      <c r="C5" s="64"/>
    </row>
    <row r="6" spans="1:3" x14ac:dyDescent="0.25">
      <c r="A6" s="64"/>
      <c r="B6" s="64"/>
      <c r="C6" s="64"/>
    </row>
    <row r="7" spans="1:3" ht="43.5" customHeight="1" x14ac:dyDescent="0.25">
      <c r="A7" s="64"/>
      <c r="B7" s="81" t="s">
        <v>172</v>
      </c>
      <c r="C7" s="64"/>
    </row>
    <row r="8" spans="1:3" x14ac:dyDescent="0.25">
      <c r="A8" s="64"/>
      <c r="B8" s="64"/>
      <c r="C8" s="64"/>
    </row>
    <row r="9" spans="1:3" ht="43.5" customHeight="1" x14ac:dyDescent="0.25">
      <c r="A9" s="64"/>
      <c r="B9" s="82" t="s">
        <v>173</v>
      </c>
      <c r="C9" s="64"/>
    </row>
    <row r="10" spans="1:3" x14ac:dyDescent="0.25">
      <c r="A10" s="64"/>
      <c r="B10" s="64"/>
      <c r="C10" s="64"/>
    </row>
    <row r="11" spans="1:3" ht="43.5" customHeight="1" x14ac:dyDescent="0.25">
      <c r="A11" s="64"/>
      <c r="B11" s="81" t="s">
        <v>174</v>
      </c>
      <c r="C11" s="64"/>
    </row>
    <row r="12" spans="1:3" x14ac:dyDescent="0.25">
      <c r="A12" s="64"/>
      <c r="B12" s="64"/>
      <c r="C12" s="64"/>
    </row>
    <row r="13" spans="1:3" ht="43.5" customHeight="1" x14ac:dyDescent="0.25">
      <c r="A13" s="64"/>
      <c r="B13" s="82" t="s">
        <v>175</v>
      </c>
      <c r="C13" s="64"/>
    </row>
    <row r="14" spans="1:3" x14ac:dyDescent="0.25">
      <c r="A14" s="64"/>
      <c r="B14" s="64"/>
      <c r="C14" s="64"/>
    </row>
    <row r="15" spans="1:3" ht="43.5" customHeight="1" x14ac:dyDescent="0.25">
      <c r="A15" s="64"/>
      <c r="B15" s="81" t="s">
        <v>176</v>
      </c>
      <c r="C15" s="64"/>
    </row>
    <row r="16" spans="1:3" x14ac:dyDescent="0.25">
      <c r="A16" s="64"/>
      <c r="B16" s="64"/>
      <c r="C16" s="64"/>
    </row>
    <row r="17" spans="1:3" ht="43.5" customHeight="1" x14ac:dyDescent="0.25">
      <c r="A17" s="64"/>
      <c r="B17" s="82" t="s">
        <v>177</v>
      </c>
      <c r="C17" s="64"/>
    </row>
    <row r="18" spans="1:3" x14ac:dyDescent="0.25">
      <c r="A18" s="64"/>
      <c r="B18" s="64"/>
      <c r="C18" s="64"/>
    </row>
    <row r="19" spans="1:3" ht="43.5" customHeight="1" x14ac:dyDescent="0.25">
      <c r="A19" s="64"/>
      <c r="B19" s="81" t="s">
        <v>178</v>
      </c>
      <c r="C19" s="64"/>
    </row>
    <row r="20" spans="1:3" x14ac:dyDescent="0.25">
      <c r="A20" s="64"/>
      <c r="B20" s="64"/>
      <c r="C20" s="64"/>
    </row>
    <row r="21" spans="1:3" ht="43.5" customHeight="1" x14ac:dyDescent="0.25">
      <c r="A21" s="64"/>
      <c r="B21" s="82" t="s">
        <v>179</v>
      </c>
      <c r="C21" s="64"/>
    </row>
    <row r="22" spans="1:3" x14ac:dyDescent="0.25">
      <c r="A22" s="64"/>
      <c r="B22" s="64"/>
      <c r="C22" s="64"/>
    </row>
    <row r="23" spans="1:3" ht="43.5" customHeight="1" x14ac:dyDescent="0.25">
      <c r="A23" s="64"/>
      <c r="B23" s="81" t="s">
        <v>180</v>
      </c>
      <c r="C23" s="64"/>
    </row>
    <row r="26" spans="1:3" ht="21.75" customHeight="1" x14ac:dyDescent="0.25">
      <c r="A26" s="55" t="s">
        <v>181</v>
      </c>
      <c r="B26" s="55"/>
      <c r="C26" s="55"/>
    </row>
  </sheetData>
  <mergeCells count="2">
    <mergeCell ref="A1:C1"/>
    <mergeCell ref="A26:C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📄 Cover Page</vt:lpstr>
      <vt:lpstr>🗺️ State PT Reference</vt:lpstr>
      <vt:lpstr>💵 Take-Home Calculator</vt:lpstr>
      <vt:lpstr>📘 How to 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camsroy</dc:creator>
  <dc:description/>
  <cp:lastModifiedBy>madhu roy</cp:lastModifiedBy>
  <cp:revision>0</cp:revision>
  <dcterms:created xsi:type="dcterms:W3CDTF">2026-09-18T06:44:42Z</dcterms:created>
  <dcterms:modified xsi:type="dcterms:W3CDTF">2026-09-20T06:34:28Z</dcterms:modified>
  <dc:language>en-US</dc:language>
</cp:coreProperties>
</file>